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externalLinks/externalLink1.xml" ContentType="application/vnd.openxmlformats-officedocument.spreadsheetml.externalLink+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60" documentId="11_F25DC773A252ABDACC1048E089DE79AE5ADE58ED" xr6:coauthVersionLast="47" xr6:coauthVersionMax="47" xr10:uidLastSave="{3D2EC546-A77C-43BD-8761-BD51C0A1A5C8}"/>
  <bookViews>
    <workbookView xWindow="28680" yWindow="-120" windowWidth="38640" windowHeight="21120" tabRatio="788" xr2:uid="{00000000-000D-0000-FFFF-FFFF00000000}"/>
  </bookViews>
  <sheets>
    <sheet name="Cover " sheetId="93" r:id="rId1"/>
    <sheet name="GH 101 LO 1" sheetId="1" r:id="rId2"/>
    <sheet name="LO1 Q1" sheetId="5" r:id="rId3"/>
    <sheet name="LO1 A1" sheetId="6" r:id="rId4"/>
    <sheet name="GH 101 LO 2" sheetId="2" r:id="rId5"/>
    <sheet name="LO2 Q1" sheetId="7" r:id="rId6"/>
    <sheet name="LO2 A1" sheetId="27" r:id="rId7"/>
    <sheet name="LO2 Q2" sheetId="8" r:id="rId8"/>
    <sheet name="LO2 A2" sheetId="28" r:id="rId9"/>
    <sheet name="LO2 Q3" sheetId="9" r:id="rId10"/>
    <sheet name="LO2 A3" sheetId="29" r:id="rId11"/>
    <sheet name="LO2 Q5" sheetId="10" r:id="rId12"/>
    <sheet name="LO2 A5" sheetId="30" r:id="rId13"/>
    <sheet name="LO2 Q6" sheetId="11" r:id="rId14"/>
    <sheet name="LO2 A6" sheetId="31" r:id="rId15"/>
    <sheet name="LO2 Q7" sheetId="12" r:id="rId16"/>
    <sheet name="LO2 A7" sheetId="32" r:id="rId17"/>
    <sheet name="LO2 Q8" sheetId="13" r:id="rId18"/>
    <sheet name="LO2 A8" sheetId="33" r:id="rId19"/>
    <sheet name="LO2 Q9" sheetId="14" r:id="rId20"/>
    <sheet name="LO2 A9" sheetId="34" r:id="rId21"/>
    <sheet name="LO2 Q10" sheetId="15" r:id="rId22"/>
    <sheet name="LO2 A10" sheetId="35" r:id="rId23"/>
    <sheet name="LO2 Q11" sheetId="16" r:id="rId24"/>
    <sheet name="LO2 A11" sheetId="36" r:id="rId25"/>
    <sheet name="LO2 Q12" sheetId="17" r:id="rId26"/>
    <sheet name="LO2 A12" sheetId="37" r:id="rId27"/>
    <sheet name="LO2 Q13" sheetId="18" r:id="rId28"/>
    <sheet name="LO2 A13" sheetId="38" r:id="rId29"/>
    <sheet name="LO2 Q14" sheetId="19" r:id="rId30"/>
    <sheet name="LO2 A14" sheetId="39" r:id="rId31"/>
    <sheet name="LO2 Q15" sheetId="20" r:id="rId32"/>
    <sheet name="LO2 A15" sheetId="40" r:id="rId33"/>
    <sheet name="LO2 Q16" sheetId="21" r:id="rId34"/>
    <sheet name="LO2 A16" sheetId="41" r:id="rId35"/>
    <sheet name="LO2 Q17" sheetId="22" r:id="rId36"/>
    <sheet name="LO2 A17" sheetId="42" r:id="rId37"/>
    <sheet name="LO2 Q18" sheetId="23" r:id="rId38"/>
    <sheet name="LO2 A18" sheetId="43" r:id="rId39"/>
    <sheet name="LO2 Q19" sheetId="24" r:id="rId40"/>
    <sheet name="LO2 A19" sheetId="44" r:id="rId41"/>
    <sheet name="LO2 Q20" sheetId="25" r:id="rId42"/>
    <sheet name="LO2 A20" sheetId="45" r:id="rId43"/>
    <sheet name="LO2 Q21" sheetId="26" r:id="rId44"/>
    <sheet name="LO2 A21" sheetId="46" r:id="rId45"/>
    <sheet name="GH 101 LO 3" sheetId="3" r:id="rId46"/>
    <sheet name="LO3 Q1" sheetId="47" r:id="rId47"/>
    <sheet name="LO3 A1" sheetId="65" r:id="rId48"/>
    <sheet name="LO3 Q2" sheetId="48" r:id="rId49"/>
    <sheet name="LO3 A2" sheetId="66" r:id="rId50"/>
    <sheet name="LO3 Q3" sheetId="49" r:id="rId51"/>
    <sheet name="LO3 A3" sheetId="67" r:id="rId52"/>
    <sheet name="LO3 Q4" sheetId="50" r:id="rId53"/>
    <sheet name="LO3 A4" sheetId="68" r:id="rId54"/>
    <sheet name="LO3 Q5" sheetId="51" r:id="rId55"/>
    <sheet name="LO3 A5" sheetId="69" r:id="rId56"/>
    <sheet name="LO3 Q6" sheetId="52" r:id="rId57"/>
    <sheet name="LO3 A6" sheetId="70" r:id="rId58"/>
    <sheet name="LO3 Q7" sheetId="53" r:id="rId59"/>
    <sheet name="LO3 A7" sheetId="71" r:id="rId60"/>
    <sheet name="LO3 Q8" sheetId="54" r:id="rId61"/>
    <sheet name="LO3 A8" sheetId="72" r:id="rId62"/>
    <sheet name="LO3 Q9" sheetId="55" r:id="rId63"/>
    <sheet name="LO3 A9" sheetId="73" r:id="rId64"/>
    <sheet name="LO3 Q10" sheetId="56" r:id="rId65"/>
    <sheet name="LO3 A10" sheetId="74" r:id="rId66"/>
    <sheet name="LO3 Q11" sheetId="57" r:id="rId67"/>
    <sheet name="LO3 A11" sheetId="75" r:id="rId68"/>
    <sheet name="LO3 Q12" sheetId="58" r:id="rId69"/>
    <sheet name="LO3 A12" sheetId="76" r:id="rId70"/>
    <sheet name="LO3 Q13" sheetId="59" r:id="rId71"/>
    <sheet name="LO3 A13" sheetId="77" r:id="rId72"/>
    <sheet name="LO3 Q14" sheetId="60" r:id="rId73"/>
    <sheet name="LO3 A14" sheetId="78" r:id="rId74"/>
    <sheet name="LO3 Q15" sheetId="61" r:id="rId75"/>
    <sheet name="LO3 A15" sheetId="79" r:id="rId76"/>
    <sheet name="LO3 Q16" sheetId="62" r:id="rId77"/>
    <sheet name="LO3 A16" sheetId="80" r:id="rId78"/>
    <sheet name="LO3 Q17" sheetId="63" r:id="rId79"/>
    <sheet name="LO3 A17" sheetId="81" r:id="rId80"/>
    <sheet name="LO3 Q18" sheetId="64" r:id="rId81"/>
    <sheet name="LO3 A18" sheetId="82" r:id="rId82"/>
    <sheet name="GH 101 LO 4" sheetId="4" r:id="rId83"/>
    <sheet name="LO4 Q3" sheetId="83" r:id="rId84"/>
    <sheet name="LO4 A3" sheetId="88" r:id="rId85"/>
    <sheet name="LO4 Q5" sheetId="84" r:id="rId86"/>
    <sheet name="LO4 A5" sheetId="89" r:id="rId87"/>
    <sheet name="LO4 Q7" sheetId="85" r:id="rId88"/>
    <sheet name="LO4 A7" sheetId="90" r:id="rId89"/>
    <sheet name="LO4 Q9" sheetId="86" r:id="rId90"/>
    <sheet name="LO4 A9" sheetId="91" r:id="rId91"/>
    <sheet name="LO4 Q11" sheetId="87" r:id="rId92"/>
    <sheet name="LO4 A11" sheetId="92" r:id="rId93"/>
  </sheets>
  <externalReferences>
    <externalReference r:id="rId94"/>
  </externalReferences>
  <definedNames>
    <definedName name="__123Graph_A" localSheetId="40" hidden="1">#REF!</definedName>
    <definedName name="__123Graph_A" localSheetId="8" hidden="1">#REF!</definedName>
    <definedName name="__123Graph_A" localSheetId="42" hidden="1">#REF!</definedName>
    <definedName name="__123Graph_A" localSheetId="44" hidden="1">#REF!</definedName>
    <definedName name="__123Graph_A" localSheetId="10" hidden="1">#REF!</definedName>
    <definedName name="__123Graph_A" localSheetId="39" hidden="1">#REF!</definedName>
    <definedName name="__123Graph_A" localSheetId="7" hidden="1">#REF!</definedName>
    <definedName name="__123Graph_A" localSheetId="41" hidden="1">#REF!</definedName>
    <definedName name="__123Graph_A" localSheetId="43" hidden="1">#REF!</definedName>
    <definedName name="__123Graph_A" localSheetId="9" hidden="1">#REF!</definedName>
    <definedName name="__123Graph_A" localSheetId="79" hidden="1">#REF!</definedName>
    <definedName name="__123Graph_A" localSheetId="81" hidden="1">#REF!</definedName>
    <definedName name="__123Graph_A" localSheetId="78" hidden="1">#REF!</definedName>
    <definedName name="__123Graph_A" localSheetId="80" hidden="1">#REF!</definedName>
    <definedName name="__123Graph_A" hidden="1">#REF!</definedName>
    <definedName name="__123Graph_AChart1" localSheetId="40" hidden="1">#REF!</definedName>
    <definedName name="__123Graph_AChart1" localSheetId="42" hidden="1">#REF!</definedName>
    <definedName name="__123Graph_AChart1" localSheetId="44" hidden="1">#REF!</definedName>
    <definedName name="__123Graph_AChart1" localSheetId="12" hidden="1">#REF!</definedName>
    <definedName name="__123Graph_AChart1" localSheetId="39" hidden="1">#REF!</definedName>
    <definedName name="__123Graph_AChart1" localSheetId="41" hidden="1">#REF!</definedName>
    <definedName name="__123Graph_AChart1" localSheetId="43" hidden="1">#REF!</definedName>
    <definedName name="__123Graph_AChart1" localSheetId="11" hidden="1">#REF!</definedName>
    <definedName name="__123Graph_AChart1" localSheetId="75" hidden="1">#REF!</definedName>
    <definedName name="__123Graph_AChart1" localSheetId="81" hidden="1">#REF!</definedName>
    <definedName name="__123Graph_AChart1" localSheetId="74" hidden="1">#REF!</definedName>
    <definedName name="__123Graph_AChart1" localSheetId="80" hidden="1">#REF!</definedName>
    <definedName name="__123Graph_AChart1" hidden="1">#REF!</definedName>
    <definedName name="__123Graph_ACurrent" localSheetId="40" hidden="1">#REF!</definedName>
    <definedName name="__123Graph_ACurrent" localSheetId="42" hidden="1">#REF!</definedName>
    <definedName name="__123Graph_ACurrent" localSheetId="44" hidden="1">#REF!</definedName>
    <definedName name="__123Graph_ACurrent" localSheetId="12" hidden="1">#REF!</definedName>
    <definedName name="__123Graph_ACurrent" localSheetId="39" hidden="1">#REF!</definedName>
    <definedName name="__123Graph_ACurrent" localSheetId="41" hidden="1">#REF!</definedName>
    <definedName name="__123Graph_ACurrent" localSheetId="43" hidden="1">#REF!</definedName>
    <definedName name="__123Graph_ACurrent" localSheetId="11" hidden="1">#REF!</definedName>
    <definedName name="__123Graph_ACurrent" localSheetId="75" hidden="1">#REF!</definedName>
    <definedName name="__123Graph_ACurrent" localSheetId="81" hidden="1">#REF!</definedName>
    <definedName name="__123Graph_ACurrent" localSheetId="74" hidden="1">#REF!</definedName>
    <definedName name="__123Graph_ACurrent" localSheetId="80" hidden="1">#REF!</definedName>
    <definedName name="__123Graph_ACurrent" hidden="1">#REF!</definedName>
    <definedName name="__123Graph_B" localSheetId="40" hidden="1">#REF!</definedName>
    <definedName name="__123Graph_B" localSheetId="8" hidden="1">#REF!</definedName>
    <definedName name="__123Graph_B" localSheetId="42" hidden="1">#REF!</definedName>
    <definedName name="__123Graph_B" localSheetId="44" hidden="1">#REF!</definedName>
    <definedName name="__123Graph_B" localSheetId="10" hidden="1">#REF!</definedName>
    <definedName name="__123Graph_B" localSheetId="39" hidden="1">#REF!</definedName>
    <definedName name="__123Graph_B" localSheetId="7" hidden="1">#REF!</definedName>
    <definedName name="__123Graph_B" localSheetId="41" hidden="1">#REF!</definedName>
    <definedName name="__123Graph_B" localSheetId="43" hidden="1">#REF!</definedName>
    <definedName name="__123Graph_B" localSheetId="9" hidden="1">#REF!</definedName>
    <definedName name="__123Graph_B" localSheetId="79" hidden="1">#REF!</definedName>
    <definedName name="__123Graph_B" localSheetId="81" hidden="1">#REF!</definedName>
    <definedName name="__123Graph_B" localSheetId="78" hidden="1">#REF!</definedName>
    <definedName name="__123Graph_B" localSheetId="80" hidden="1">#REF!</definedName>
    <definedName name="__123Graph_B" hidden="1">#REF!</definedName>
    <definedName name="__123Graph_BChart1" localSheetId="40" hidden="1">#REF!</definedName>
    <definedName name="__123Graph_BChart1" localSheetId="42" hidden="1">#REF!</definedName>
    <definedName name="__123Graph_BChart1" localSheetId="44" hidden="1">#REF!</definedName>
    <definedName name="__123Graph_BChart1" localSheetId="12" hidden="1">#REF!</definedName>
    <definedName name="__123Graph_BChart1" localSheetId="39" hidden="1">#REF!</definedName>
    <definedName name="__123Graph_BChart1" localSheetId="41" hidden="1">#REF!</definedName>
    <definedName name="__123Graph_BChart1" localSheetId="43" hidden="1">#REF!</definedName>
    <definedName name="__123Graph_BChart1" localSheetId="11" hidden="1">#REF!</definedName>
    <definedName name="__123Graph_BChart1" localSheetId="75" hidden="1">#REF!</definedName>
    <definedName name="__123Graph_BChart1" localSheetId="81" hidden="1">#REF!</definedName>
    <definedName name="__123Graph_BChart1" localSheetId="74" hidden="1">#REF!</definedName>
    <definedName name="__123Graph_BChart1" localSheetId="80" hidden="1">#REF!</definedName>
    <definedName name="__123Graph_BChart1" hidden="1">#REF!</definedName>
    <definedName name="__123Graph_BCurrent" localSheetId="40" hidden="1">#REF!</definedName>
    <definedName name="__123Graph_BCurrent" localSheetId="42" hidden="1">#REF!</definedName>
    <definedName name="__123Graph_BCurrent" localSheetId="44" hidden="1">#REF!</definedName>
    <definedName name="__123Graph_BCurrent" localSheetId="12" hidden="1">#REF!</definedName>
    <definedName name="__123Graph_BCurrent" localSheetId="39" hidden="1">#REF!</definedName>
    <definedName name="__123Graph_BCurrent" localSheetId="41" hidden="1">#REF!</definedName>
    <definedName name="__123Graph_BCurrent" localSheetId="43" hidden="1">#REF!</definedName>
    <definedName name="__123Graph_BCurrent" localSheetId="11" hidden="1">#REF!</definedName>
    <definedName name="__123Graph_BCurrent" localSheetId="75" hidden="1">#REF!</definedName>
    <definedName name="__123Graph_BCurrent" localSheetId="81" hidden="1">#REF!</definedName>
    <definedName name="__123Graph_BCurrent" localSheetId="74" hidden="1">#REF!</definedName>
    <definedName name="__123Graph_BCurrent" localSheetId="80" hidden="1">#REF!</definedName>
    <definedName name="__123Graph_BCurrent" hidden="1">#REF!</definedName>
    <definedName name="__123Graph_C" localSheetId="40" hidden="1">#REF!</definedName>
    <definedName name="__123Graph_C" localSheetId="8" hidden="1">#REF!</definedName>
    <definedName name="__123Graph_C" localSheetId="42" hidden="1">#REF!</definedName>
    <definedName name="__123Graph_C" localSheetId="44" hidden="1">#REF!</definedName>
    <definedName name="__123Graph_C" localSheetId="10" hidden="1">#REF!</definedName>
    <definedName name="__123Graph_C" localSheetId="39" hidden="1">#REF!</definedName>
    <definedName name="__123Graph_C" localSheetId="7" hidden="1">#REF!</definedName>
    <definedName name="__123Graph_C" localSheetId="41" hidden="1">#REF!</definedName>
    <definedName name="__123Graph_C" localSheetId="43" hidden="1">#REF!</definedName>
    <definedName name="__123Graph_C" localSheetId="9" hidden="1">#REF!</definedName>
    <definedName name="__123Graph_C" localSheetId="79" hidden="1">#REF!</definedName>
    <definedName name="__123Graph_C" localSheetId="81" hidden="1">#REF!</definedName>
    <definedName name="__123Graph_C" localSheetId="78" hidden="1">#REF!</definedName>
    <definedName name="__123Graph_C" localSheetId="80" hidden="1">#REF!</definedName>
    <definedName name="__123Graph_C" hidden="1">#REF!</definedName>
    <definedName name="__123Graph_CChart1" localSheetId="40" hidden="1">#REF!</definedName>
    <definedName name="__123Graph_CChart1" localSheetId="42" hidden="1">#REF!</definedName>
    <definedName name="__123Graph_CChart1" localSheetId="44" hidden="1">#REF!</definedName>
    <definedName name="__123Graph_CChart1" localSheetId="12" hidden="1">#REF!</definedName>
    <definedName name="__123Graph_CChart1" localSheetId="39" hidden="1">#REF!</definedName>
    <definedName name="__123Graph_CChart1" localSheetId="41" hidden="1">#REF!</definedName>
    <definedName name="__123Graph_CChart1" localSheetId="43" hidden="1">#REF!</definedName>
    <definedName name="__123Graph_CChart1" localSheetId="11" hidden="1">#REF!</definedName>
    <definedName name="__123Graph_CChart1" localSheetId="75" hidden="1">#REF!</definedName>
    <definedName name="__123Graph_CChart1" localSheetId="81" hidden="1">#REF!</definedName>
    <definedName name="__123Graph_CChart1" localSheetId="74" hidden="1">#REF!</definedName>
    <definedName name="__123Graph_CChart1" localSheetId="80" hidden="1">#REF!</definedName>
    <definedName name="__123Graph_CChart1" hidden="1">#REF!</definedName>
    <definedName name="__123Graph_CCurrent" localSheetId="40" hidden="1">#REF!</definedName>
    <definedName name="__123Graph_CCurrent" localSheetId="42" hidden="1">#REF!</definedName>
    <definedName name="__123Graph_CCurrent" localSheetId="44" hidden="1">#REF!</definedName>
    <definedName name="__123Graph_CCurrent" localSheetId="12" hidden="1">#REF!</definedName>
    <definedName name="__123Graph_CCurrent" localSheetId="39" hidden="1">#REF!</definedName>
    <definedName name="__123Graph_CCurrent" localSheetId="41" hidden="1">#REF!</definedName>
    <definedName name="__123Graph_CCurrent" localSheetId="43" hidden="1">#REF!</definedName>
    <definedName name="__123Graph_CCurrent" localSheetId="11" hidden="1">#REF!</definedName>
    <definedName name="__123Graph_CCurrent" localSheetId="75" hidden="1">#REF!</definedName>
    <definedName name="__123Graph_CCurrent" localSheetId="81" hidden="1">#REF!</definedName>
    <definedName name="__123Graph_CCurrent" localSheetId="74" hidden="1">#REF!</definedName>
    <definedName name="__123Graph_CCurrent" localSheetId="80" hidden="1">#REF!</definedName>
    <definedName name="__123Graph_CCurrent" hidden="1">#REF!</definedName>
    <definedName name="__123Graph_D" localSheetId="40" hidden="1">#REF!</definedName>
    <definedName name="__123Graph_D" localSheetId="8" hidden="1">#REF!</definedName>
    <definedName name="__123Graph_D" localSheetId="42" hidden="1">#REF!</definedName>
    <definedName name="__123Graph_D" localSheetId="44" hidden="1">#REF!</definedName>
    <definedName name="__123Graph_D" localSheetId="10" hidden="1">#REF!</definedName>
    <definedName name="__123Graph_D" localSheetId="39" hidden="1">#REF!</definedName>
    <definedName name="__123Graph_D" localSheetId="7" hidden="1">#REF!</definedName>
    <definedName name="__123Graph_D" localSheetId="41" hidden="1">#REF!</definedName>
    <definedName name="__123Graph_D" localSheetId="43" hidden="1">#REF!</definedName>
    <definedName name="__123Graph_D" localSheetId="9" hidden="1">#REF!</definedName>
    <definedName name="__123Graph_D" localSheetId="79" hidden="1">#REF!</definedName>
    <definedName name="__123Graph_D" localSheetId="81" hidden="1">#REF!</definedName>
    <definedName name="__123Graph_D" localSheetId="78" hidden="1">#REF!</definedName>
    <definedName name="__123Graph_D" localSheetId="80" hidden="1">#REF!</definedName>
    <definedName name="__123Graph_D" hidden="1">#REF!</definedName>
    <definedName name="__123Graph_DChart1" localSheetId="40" hidden="1">#REF!</definedName>
    <definedName name="__123Graph_DChart1" localSheetId="42" hidden="1">#REF!</definedName>
    <definedName name="__123Graph_DChart1" localSheetId="44" hidden="1">#REF!</definedName>
    <definedName name="__123Graph_DChart1" localSheetId="12" hidden="1">#REF!</definedName>
    <definedName name="__123Graph_DChart1" localSheetId="39" hidden="1">#REF!</definedName>
    <definedName name="__123Graph_DChart1" localSheetId="41" hidden="1">#REF!</definedName>
    <definedName name="__123Graph_DChart1" localSheetId="43" hidden="1">#REF!</definedName>
    <definedName name="__123Graph_DChart1" localSheetId="11" hidden="1">#REF!</definedName>
    <definedName name="__123Graph_DChart1" localSheetId="75" hidden="1">#REF!</definedName>
    <definedName name="__123Graph_DChart1" localSheetId="81" hidden="1">#REF!</definedName>
    <definedName name="__123Graph_DChart1" localSheetId="74" hidden="1">#REF!</definedName>
    <definedName name="__123Graph_DChart1" localSheetId="80" hidden="1">#REF!</definedName>
    <definedName name="__123Graph_DChart1" hidden="1">#REF!</definedName>
    <definedName name="__123Graph_DCurrent" localSheetId="40" hidden="1">#REF!</definedName>
    <definedName name="__123Graph_DCurrent" localSheetId="42" hidden="1">#REF!</definedName>
    <definedName name="__123Graph_DCurrent" localSheetId="44" hidden="1">#REF!</definedName>
    <definedName name="__123Graph_DCurrent" localSheetId="12" hidden="1">#REF!</definedName>
    <definedName name="__123Graph_DCurrent" localSheetId="39" hidden="1">#REF!</definedName>
    <definedName name="__123Graph_DCurrent" localSheetId="41" hidden="1">#REF!</definedName>
    <definedName name="__123Graph_DCurrent" localSheetId="43" hidden="1">#REF!</definedName>
    <definedName name="__123Graph_DCurrent" localSheetId="11" hidden="1">#REF!</definedName>
    <definedName name="__123Graph_DCurrent" localSheetId="75" hidden="1">#REF!</definedName>
    <definedName name="__123Graph_DCurrent" localSheetId="81" hidden="1">#REF!</definedName>
    <definedName name="__123Graph_DCurrent" localSheetId="74" hidden="1">#REF!</definedName>
    <definedName name="__123Graph_DCurrent" localSheetId="80" hidden="1">#REF!</definedName>
    <definedName name="__123Graph_DCurrent" hidden="1">#REF!</definedName>
    <definedName name="__123Graph_E" localSheetId="40" hidden="1">#REF!</definedName>
    <definedName name="__123Graph_E" localSheetId="8" hidden="1">#REF!</definedName>
    <definedName name="__123Graph_E" localSheetId="42" hidden="1">#REF!</definedName>
    <definedName name="__123Graph_E" localSheetId="44" hidden="1">#REF!</definedName>
    <definedName name="__123Graph_E" localSheetId="10" hidden="1">#REF!</definedName>
    <definedName name="__123Graph_E" localSheetId="39" hidden="1">#REF!</definedName>
    <definedName name="__123Graph_E" localSheetId="7" hidden="1">#REF!</definedName>
    <definedName name="__123Graph_E" localSheetId="41" hidden="1">#REF!</definedName>
    <definedName name="__123Graph_E" localSheetId="43" hidden="1">#REF!</definedName>
    <definedName name="__123Graph_E" localSheetId="9" hidden="1">#REF!</definedName>
    <definedName name="__123Graph_E" localSheetId="79" hidden="1">#REF!</definedName>
    <definedName name="__123Graph_E" localSheetId="81" hidden="1">#REF!</definedName>
    <definedName name="__123Graph_E" localSheetId="78" hidden="1">#REF!</definedName>
    <definedName name="__123Graph_E" localSheetId="80" hidden="1">#REF!</definedName>
    <definedName name="__123Graph_E" hidden="1">#REF!</definedName>
    <definedName name="__123Graph_EChart1" localSheetId="40" hidden="1">#REF!</definedName>
    <definedName name="__123Graph_EChart1" localSheetId="42" hidden="1">#REF!</definedName>
    <definedName name="__123Graph_EChart1" localSheetId="44" hidden="1">#REF!</definedName>
    <definedName name="__123Graph_EChart1" localSheetId="12" hidden="1">#REF!</definedName>
    <definedName name="__123Graph_EChart1" localSheetId="39" hidden="1">#REF!</definedName>
    <definedName name="__123Graph_EChart1" localSheetId="41" hidden="1">#REF!</definedName>
    <definedName name="__123Graph_EChart1" localSheetId="43" hidden="1">#REF!</definedName>
    <definedName name="__123Graph_EChart1" localSheetId="11" hidden="1">#REF!</definedName>
    <definedName name="__123Graph_EChart1" localSheetId="75" hidden="1">#REF!</definedName>
    <definedName name="__123Graph_EChart1" localSheetId="81" hidden="1">#REF!</definedName>
    <definedName name="__123Graph_EChart1" localSheetId="74" hidden="1">#REF!</definedName>
    <definedName name="__123Graph_EChart1" localSheetId="80" hidden="1">#REF!</definedName>
    <definedName name="__123Graph_EChart1" hidden="1">#REF!</definedName>
    <definedName name="__123Graph_ECurrent" localSheetId="40" hidden="1">#REF!</definedName>
    <definedName name="__123Graph_ECurrent" localSheetId="42" hidden="1">#REF!</definedName>
    <definedName name="__123Graph_ECurrent" localSheetId="44" hidden="1">#REF!</definedName>
    <definedName name="__123Graph_ECurrent" localSheetId="12" hidden="1">#REF!</definedName>
    <definedName name="__123Graph_ECurrent" localSheetId="39" hidden="1">#REF!</definedName>
    <definedName name="__123Graph_ECurrent" localSheetId="41" hidden="1">#REF!</definedName>
    <definedName name="__123Graph_ECurrent" localSheetId="43" hidden="1">#REF!</definedName>
    <definedName name="__123Graph_ECurrent" localSheetId="11" hidden="1">#REF!</definedName>
    <definedName name="__123Graph_ECurrent" localSheetId="75" hidden="1">#REF!</definedName>
    <definedName name="__123Graph_ECurrent" localSheetId="81" hidden="1">#REF!</definedName>
    <definedName name="__123Graph_ECurrent" localSheetId="74" hidden="1">#REF!</definedName>
    <definedName name="__123Graph_ECurrent" localSheetId="80" hidden="1">#REF!</definedName>
    <definedName name="__123Graph_ECurrent" hidden="1">#REF!</definedName>
    <definedName name="__123Graph_F" localSheetId="40" hidden="1">#REF!</definedName>
    <definedName name="__123Graph_F" localSheetId="8" hidden="1">#REF!</definedName>
    <definedName name="__123Graph_F" localSheetId="42" hidden="1">#REF!</definedName>
    <definedName name="__123Graph_F" localSheetId="44" hidden="1">#REF!</definedName>
    <definedName name="__123Graph_F" localSheetId="10" hidden="1">#REF!</definedName>
    <definedName name="__123Graph_F" localSheetId="39" hidden="1">#REF!</definedName>
    <definedName name="__123Graph_F" localSheetId="7" hidden="1">#REF!</definedName>
    <definedName name="__123Graph_F" localSheetId="41" hidden="1">#REF!</definedName>
    <definedName name="__123Graph_F" localSheetId="43" hidden="1">#REF!</definedName>
    <definedName name="__123Graph_F" localSheetId="9" hidden="1">#REF!</definedName>
    <definedName name="__123Graph_F" localSheetId="79" hidden="1">#REF!</definedName>
    <definedName name="__123Graph_F" localSheetId="81" hidden="1">#REF!</definedName>
    <definedName name="__123Graph_F" localSheetId="78" hidden="1">#REF!</definedName>
    <definedName name="__123Graph_F" localSheetId="80" hidden="1">#REF!</definedName>
    <definedName name="__123Graph_F" hidden="1">#REF!</definedName>
    <definedName name="__123Graph_FChart1" localSheetId="40" hidden="1">#REF!</definedName>
    <definedName name="__123Graph_FChart1" localSheetId="42" hidden="1">#REF!</definedName>
    <definedName name="__123Graph_FChart1" localSheetId="44" hidden="1">#REF!</definedName>
    <definedName name="__123Graph_FChart1" localSheetId="12" hidden="1">#REF!</definedName>
    <definedName name="__123Graph_FChart1" localSheetId="39" hidden="1">#REF!</definedName>
    <definedName name="__123Graph_FChart1" localSheetId="41" hidden="1">#REF!</definedName>
    <definedName name="__123Graph_FChart1" localSheetId="43" hidden="1">#REF!</definedName>
    <definedName name="__123Graph_FChart1" localSheetId="11" hidden="1">#REF!</definedName>
    <definedName name="__123Graph_FChart1" localSheetId="75" hidden="1">#REF!</definedName>
    <definedName name="__123Graph_FChart1" localSheetId="81" hidden="1">#REF!</definedName>
    <definedName name="__123Graph_FChart1" localSheetId="74" hidden="1">#REF!</definedName>
    <definedName name="__123Graph_FChart1" localSheetId="80" hidden="1">#REF!</definedName>
    <definedName name="__123Graph_FChart1" hidden="1">#REF!</definedName>
    <definedName name="__123Graph_FCurrent" localSheetId="40" hidden="1">#REF!</definedName>
    <definedName name="__123Graph_FCurrent" localSheetId="42" hidden="1">#REF!</definedName>
    <definedName name="__123Graph_FCurrent" localSheetId="44" hidden="1">#REF!</definedName>
    <definedName name="__123Graph_FCurrent" localSheetId="12" hidden="1">#REF!</definedName>
    <definedName name="__123Graph_FCurrent" localSheetId="39" hidden="1">#REF!</definedName>
    <definedName name="__123Graph_FCurrent" localSheetId="41" hidden="1">#REF!</definedName>
    <definedName name="__123Graph_FCurrent" localSheetId="43" hidden="1">#REF!</definedName>
    <definedName name="__123Graph_FCurrent" localSheetId="11" hidden="1">#REF!</definedName>
    <definedName name="__123Graph_FCurrent" localSheetId="75" hidden="1">#REF!</definedName>
    <definedName name="__123Graph_FCurrent" localSheetId="81" hidden="1">#REF!</definedName>
    <definedName name="__123Graph_FCurrent" localSheetId="74" hidden="1">#REF!</definedName>
    <definedName name="__123Graph_FCurrent" localSheetId="80" hidden="1">#REF!</definedName>
    <definedName name="__123Graph_FCurrent" hidden="1">#REF!</definedName>
    <definedName name="__123Graph_X" localSheetId="40" hidden="1">#REF!</definedName>
    <definedName name="__123Graph_X" localSheetId="8" hidden="1">#REF!</definedName>
    <definedName name="__123Graph_X" localSheetId="42" hidden="1">#REF!</definedName>
    <definedName name="__123Graph_X" localSheetId="44" hidden="1">#REF!</definedName>
    <definedName name="__123Graph_X" localSheetId="10" hidden="1">#REF!</definedName>
    <definedName name="__123Graph_X" localSheetId="39" hidden="1">#REF!</definedName>
    <definedName name="__123Graph_X" localSheetId="7" hidden="1">#REF!</definedName>
    <definedName name="__123Graph_X" localSheetId="41" hidden="1">#REF!</definedName>
    <definedName name="__123Graph_X" localSheetId="43" hidden="1">#REF!</definedName>
    <definedName name="__123Graph_X" localSheetId="9" hidden="1">#REF!</definedName>
    <definedName name="__123Graph_X" localSheetId="79" hidden="1">#REF!</definedName>
    <definedName name="__123Graph_X" localSheetId="81" hidden="1">#REF!</definedName>
    <definedName name="__123Graph_X" localSheetId="78" hidden="1">#REF!</definedName>
    <definedName name="__123Graph_X" localSheetId="80" hidden="1">#REF!</definedName>
    <definedName name="__123Graph_X" hidden="1">#REF!</definedName>
    <definedName name="_xlnm._FilterDatabase" localSheetId="24" hidden="1">'LO2 A11'!$J$17:$P$33</definedName>
    <definedName name="_xlnm._FilterDatabase" localSheetId="26" hidden="1">'LO2 A12'!$J$18:$Q$29</definedName>
    <definedName name="_Key1" localSheetId="40" hidden="1">#REF!</definedName>
    <definedName name="_Key1" localSheetId="8" hidden="1">#REF!</definedName>
    <definedName name="_Key1" localSheetId="42" hidden="1">#REF!</definedName>
    <definedName name="_Key1" localSheetId="44" hidden="1">#REF!</definedName>
    <definedName name="_Key1" localSheetId="10" hidden="1">#REF!</definedName>
    <definedName name="_Key1" localSheetId="39" hidden="1">#REF!</definedName>
    <definedName name="_Key1" localSheetId="7" hidden="1">#REF!</definedName>
    <definedName name="_Key1" localSheetId="41" hidden="1">#REF!</definedName>
    <definedName name="_Key1" localSheetId="43" hidden="1">#REF!</definedName>
    <definedName name="_Key1" localSheetId="9" hidden="1">#REF!</definedName>
    <definedName name="_Key1" localSheetId="79" hidden="1">#REF!</definedName>
    <definedName name="_Key1" localSheetId="81" hidden="1">#REF!</definedName>
    <definedName name="_Key1" localSheetId="78" hidden="1">#REF!</definedName>
    <definedName name="_Key1" localSheetId="80" hidden="1">#REF!</definedName>
    <definedName name="_Key1" hidden="1">#REF!</definedName>
    <definedName name="_Order1" hidden="1">255</definedName>
    <definedName name="_Order2" hidden="1">255</definedName>
    <definedName name="_Sort" localSheetId="40" hidden="1">#REF!</definedName>
    <definedName name="_Sort" localSheetId="8" hidden="1">#REF!</definedName>
    <definedName name="_Sort" localSheetId="42" hidden="1">#REF!</definedName>
    <definedName name="_Sort" localSheetId="44" hidden="1">#REF!</definedName>
    <definedName name="_Sort" localSheetId="10" hidden="1">#REF!</definedName>
    <definedName name="_Sort" localSheetId="39" hidden="1">#REF!</definedName>
    <definedName name="_Sort" localSheetId="7" hidden="1">#REF!</definedName>
    <definedName name="_Sort" localSheetId="41" hidden="1">#REF!</definedName>
    <definedName name="_Sort" localSheetId="43" hidden="1">#REF!</definedName>
    <definedName name="_Sort" localSheetId="9" hidden="1">#REF!</definedName>
    <definedName name="_Sort" localSheetId="79" hidden="1">#REF!</definedName>
    <definedName name="_Sort" localSheetId="81" hidden="1">#REF!</definedName>
    <definedName name="_Sort" localSheetId="78" hidden="1">#REF!</definedName>
    <definedName name="_Sort" localSheetId="80" hidden="1">#REF!</definedName>
    <definedName name="_Sort" hidden="1">#REF!</definedName>
    <definedName name="_Table1_Out" localSheetId="40" hidden="1">#REF!</definedName>
    <definedName name="_Table1_Out" localSheetId="8" hidden="1">#REF!</definedName>
    <definedName name="_Table1_Out" localSheetId="42" hidden="1">#REF!</definedName>
    <definedName name="_Table1_Out" localSheetId="44" hidden="1">#REF!</definedName>
    <definedName name="_Table1_Out" localSheetId="10" hidden="1">#REF!</definedName>
    <definedName name="_Table1_Out" localSheetId="39" hidden="1">#REF!</definedName>
    <definedName name="_Table1_Out" localSheetId="7" hidden="1">#REF!</definedName>
    <definedName name="_Table1_Out" localSheetId="41" hidden="1">#REF!</definedName>
    <definedName name="_Table1_Out" localSheetId="43" hidden="1">#REF!</definedName>
    <definedName name="_Table1_Out" localSheetId="9" hidden="1">#REF!</definedName>
    <definedName name="_Table1_Out" localSheetId="79" hidden="1">#REF!</definedName>
    <definedName name="_Table1_Out" localSheetId="81" hidden="1">#REF!</definedName>
    <definedName name="_Table1_Out" localSheetId="78" hidden="1">#REF!</definedName>
    <definedName name="_Table1_Out" localSheetId="80" hidden="1">#REF!</definedName>
    <definedName name="_Table1_Out" hidden="1">#REF!</definedName>
    <definedName name="Allocations">#REF!</definedName>
    <definedName name="asd" localSheetId="40" hidden="1">#REF!</definedName>
    <definedName name="asd" localSheetId="42" hidden="1">#REF!</definedName>
    <definedName name="asd" localSheetId="44" hidden="1">#REF!</definedName>
    <definedName name="asd" localSheetId="12" hidden="1">#REF!</definedName>
    <definedName name="asd" localSheetId="39" hidden="1">#REF!</definedName>
    <definedName name="asd" localSheetId="41" hidden="1">#REF!</definedName>
    <definedName name="asd" localSheetId="43" hidden="1">#REF!</definedName>
    <definedName name="asd" localSheetId="11" hidden="1">#REF!</definedName>
    <definedName name="asd" localSheetId="75" hidden="1">#REF!</definedName>
    <definedName name="asd" localSheetId="81" hidden="1">#REF!</definedName>
    <definedName name="asd" localSheetId="74" hidden="1">#REF!</definedName>
    <definedName name="asd" localSheetId="80" hidden="1">#REF!</definedName>
    <definedName name="asd" hidden="1">#REF!</definedName>
    <definedName name="asda" localSheetId="40" hidden="1">#REF!</definedName>
    <definedName name="asda" localSheetId="42" hidden="1">#REF!</definedName>
    <definedName name="asda" localSheetId="44" hidden="1">#REF!</definedName>
    <definedName name="asda" localSheetId="12" hidden="1">#REF!</definedName>
    <definedName name="asda" localSheetId="39" hidden="1">#REF!</definedName>
    <definedName name="asda" localSheetId="41" hidden="1">#REF!</definedName>
    <definedName name="asda" localSheetId="43" hidden="1">#REF!</definedName>
    <definedName name="asda" localSheetId="11" hidden="1">#REF!</definedName>
    <definedName name="asda" localSheetId="75" hidden="1">#REF!</definedName>
    <definedName name="asda" localSheetId="81" hidden="1">#REF!</definedName>
    <definedName name="asda" localSheetId="74" hidden="1">#REF!</definedName>
    <definedName name="asda" localSheetId="80" hidden="1">#REF!</definedName>
    <definedName name="asda" hidden="1">#REF!</definedName>
    <definedName name="cindy" localSheetId="40" hidden="1">#REF!</definedName>
    <definedName name="cindy" localSheetId="42" hidden="1">#REF!</definedName>
    <definedName name="cindy" localSheetId="44" hidden="1">#REF!</definedName>
    <definedName name="cindy" localSheetId="12" hidden="1">#REF!</definedName>
    <definedName name="cindy" localSheetId="39" hidden="1">#REF!</definedName>
    <definedName name="cindy" localSheetId="41" hidden="1">#REF!</definedName>
    <definedName name="cindy" localSheetId="43" hidden="1">#REF!</definedName>
    <definedName name="cindy" localSheetId="11" hidden="1">#REF!</definedName>
    <definedName name="cindy" localSheetId="75" hidden="1">#REF!</definedName>
    <definedName name="cindy" localSheetId="81" hidden="1">#REF!</definedName>
    <definedName name="cindy" localSheetId="74" hidden="1">#REF!</definedName>
    <definedName name="cindy" localSheetId="80" hidden="1">#REF!</definedName>
    <definedName name="cindy" hidden="1">#REF!</definedName>
    <definedName name="ddd" localSheetId="40" hidden="1">#REF!</definedName>
    <definedName name="ddd" localSheetId="8" hidden="1">#REF!</definedName>
    <definedName name="ddd" localSheetId="42" hidden="1">#REF!</definedName>
    <definedName name="ddd" localSheetId="44" hidden="1">#REF!</definedName>
    <definedName name="ddd" localSheetId="10" hidden="1">#REF!</definedName>
    <definedName name="ddd" localSheetId="39" hidden="1">#REF!</definedName>
    <definedName name="ddd" localSheetId="7" hidden="1">#REF!</definedName>
    <definedName name="ddd" localSheetId="41" hidden="1">#REF!</definedName>
    <definedName name="ddd" localSheetId="43" hidden="1">#REF!</definedName>
    <definedName name="ddd" localSheetId="9" hidden="1">#REF!</definedName>
    <definedName name="ddd" localSheetId="79" hidden="1">#REF!</definedName>
    <definedName name="ddd" localSheetId="81" hidden="1">#REF!</definedName>
    <definedName name="ddd" localSheetId="78" hidden="1">#REF!</definedName>
    <definedName name="ddd" localSheetId="80" hidden="1">#REF!</definedName>
    <definedName name="ddd" hidden="1">#REF!</definedName>
    <definedName name="Graph" localSheetId="40" hidden="1">#REF!</definedName>
    <definedName name="Graph" localSheetId="42" hidden="1">#REF!</definedName>
    <definedName name="Graph" localSheetId="44" hidden="1">#REF!</definedName>
    <definedName name="Graph" localSheetId="12" hidden="1">#REF!</definedName>
    <definedName name="Graph" localSheetId="39" hidden="1">#REF!</definedName>
    <definedName name="Graph" localSheetId="41" hidden="1">#REF!</definedName>
    <definedName name="Graph" localSheetId="43" hidden="1">#REF!</definedName>
    <definedName name="Graph" localSheetId="11" hidden="1">#REF!</definedName>
    <definedName name="Graph" localSheetId="75" hidden="1">#REF!</definedName>
    <definedName name="Graph" localSheetId="81" hidden="1">#REF!</definedName>
    <definedName name="Graph" localSheetId="74" hidden="1">#REF!</definedName>
    <definedName name="Graph" localSheetId="80" hidden="1">#REF!</definedName>
    <definedName name="Graph" hidden="1">#REF!</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New123graph" localSheetId="40" hidden="1">#REF!</definedName>
    <definedName name="New123graph" localSheetId="42" hidden="1">#REF!</definedName>
    <definedName name="New123graph" localSheetId="44" hidden="1">#REF!</definedName>
    <definedName name="New123graph" localSheetId="12" hidden="1">#REF!</definedName>
    <definedName name="New123graph" localSheetId="39" hidden="1">#REF!</definedName>
    <definedName name="New123graph" localSheetId="41" hidden="1">#REF!</definedName>
    <definedName name="New123graph" localSheetId="43" hidden="1">#REF!</definedName>
    <definedName name="New123graph" localSheetId="11" hidden="1">#REF!</definedName>
    <definedName name="New123graph" localSheetId="75" hidden="1">#REF!</definedName>
    <definedName name="New123graph" localSheetId="81" hidden="1">#REF!</definedName>
    <definedName name="New123graph" localSheetId="74" hidden="1">#REF!</definedName>
    <definedName name="New123graph" localSheetId="80" hidden="1">#REF!</definedName>
    <definedName name="New123graph" hidden="1">#REF!</definedName>
    <definedName name="newrange" localSheetId="40" hidden="1">#REF!</definedName>
    <definedName name="newrange" localSheetId="42" hidden="1">#REF!</definedName>
    <definedName name="newrange" localSheetId="44" hidden="1">#REF!</definedName>
    <definedName name="newrange" localSheetId="12" hidden="1">#REF!</definedName>
    <definedName name="newrange" localSheetId="39" hidden="1">#REF!</definedName>
    <definedName name="newrange" localSheetId="41" hidden="1">#REF!</definedName>
    <definedName name="newrange" localSheetId="43" hidden="1">#REF!</definedName>
    <definedName name="newrange" localSheetId="11" hidden="1">#REF!</definedName>
    <definedName name="newrange" localSheetId="75" hidden="1">#REF!</definedName>
    <definedName name="newrange" localSheetId="81" hidden="1">#REF!</definedName>
    <definedName name="newrange" localSheetId="74" hidden="1">#REF!</definedName>
    <definedName name="newrange" localSheetId="80" hidden="1">#REF!</definedName>
    <definedName name="newrange" hidden="1">#REF!</definedName>
    <definedName name="qwe" localSheetId="40" hidden="1">#REF!</definedName>
    <definedName name="qwe" localSheetId="42" hidden="1">#REF!</definedName>
    <definedName name="qwe" localSheetId="44" hidden="1">#REF!</definedName>
    <definedName name="qwe" localSheetId="12" hidden="1">#REF!</definedName>
    <definedName name="qwe" localSheetId="39" hidden="1">#REF!</definedName>
    <definedName name="qwe" localSheetId="41" hidden="1">#REF!</definedName>
    <definedName name="qwe" localSheetId="43" hidden="1">#REF!</definedName>
    <definedName name="qwe" localSheetId="11" hidden="1">#REF!</definedName>
    <definedName name="qwe" localSheetId="75" hidden="1">#REF!</definedName>
    <definedName name="qwe" localSheetId="81" hidden="1">#REF!</definedName>
    <definedName name="qwe" localSheetId="74" hidden="1">#REF!</definedName>
    <definedName name="qwe" localSheetId="80" hidden="1">#REF!</definedName>
    <definedName name="qwe" hidden="1">#REF!</definedName>
    <definedName name="Total">#REF!</definedName>
    <definedName name="wer" localSheetId="40" hidden="1">#REF!</definedName>
    <definedName name="wer" localSheetId="42" hidden="1">#REF!</definedName>
    <definedName name="wer" localSheetId="44" hidden="1">#REF!</definedName>
    <definedName name="wer" localSheetId="12" hidden="1">#REF!</definedName>
    <definedName name="wer" localSheetId="39" hidden="1">#REF!</definedName>
    <definedName name="wer" localSheetId="41" hidden="1">#REF!</definedName>
    <definedName name="wer" localSheetId="43" hidden="1">#REF!</definedName>
    <definedName name="wer" localSheetId="11" hidden="1">#REF!</definedName>
    <definedName name="wer" localSheetId="75" hidden="1">#REF!</definedName>
    <definedName name="wer" localSheetId="81" hidden="1">#REF!</definedName>
    <definedName name="wer" localSheetId="74" hidden="1">#REF!</definedName>
    <definedName name="wer" localSheetId="80" hidden="1">#REF!</definedName>
    <definedName name="wer" hidden="1">#REF!</definedName>
    <definedName name="wrn.Adjusted._.Mod._.Managed." localSheetId="2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9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9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9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Optimal." localSheetId="22" hidden="1">{"OM Visits",#N/A,TRUE,"Optimal";"OM Dollars per Hour",#N/A,TRUE,"Optimal";"OM Hours per Visit",#N/A,TRUE,"Optimal";"OM Dollars per Visit",#N/A,TRUE,"Optimal";"OM Total Visits",#N/A,TRUE,"Optimal";"OM PMPM",#N/A,TRUE,"Optimal"}</definedName>
    <definedName name="wrn.Adjusted._.Optimal." localSheetId="24" hidden="1">{"OM Visits",#N/A,TRUE,"Optimal";"OM Dollars per Hour",#N/A,TRUE,"Optimal";"OM Hours per Visit",#N/A,TRUE,"Optimal";"OM Dollars per Visit",#N/A,TRUE,"Optimal";"OM Total Visits",#N/A,TRUE,"Optimal";"OM PMPM",#N/A,TRUE,"Optimal"}</definedName>
    <definedName name="wrn.Adjusted._.Optimal." localSheetId="26" hidden="1">{"OM Visits",#N/A,TRUE,"Optimal";"OM Dollars per Hour",#N/A,TRUE,"Optimal";"OM Hours per Visit",#N/A,TRUE,"Optimal";"OM Dollars per Visit",#N/A,TRUE,"Optimal";"OM Total Visits",#N/A,TRUE,"Optimal";"OM PMPM",#N/A,TRUE,"Optimal"}</definedName>
    <definedName name="wrn.Adjusted._.Optimal." localSheetId="28" hidden="1">{"OM Visits",#N/A,TRUE,"Optimal";"OM Dollars per Hour",#N/A,TRUE,"Optimal";"OM Hours per Visit",#N/A,TRUE,"Optimal";"OM Dollars per Visit",#N/A,TRUE,"Optimal";"OM Total Visits",#N/A,TRUE,"Optimal";"OM PMPM",#N/A,TRUE,"Optimal"}</definedName>
    <definedName name="wrn.Adjusted._.Optimal." localSheetId="30" hidden="1">{"OM Visits",#N/A,TRUE,"Optimal";"OM Dollars per Hour",#N/A,TRUE,"Optimal";"OM Hours per Visit",#N/A,TRUE,"Optimal";"OM Dollars per Visit",#N/A,TRUE,"Optimal";"OM Total Visits",#N/A,TRUE,"Optimal";"OM PMPM",#N/A,TRUE,"Optimal"}</definedName>
    <definedName name="wrn.Adjusted._.Optimal." localSheetId="32" hidden="1">{"OM Visits",#N/A,TRUE,"Optimal";"OM Dollars per Hour",#N/A,TRUE,"Optimal";"OM Hours per Visit",#N/A,TRUE,"Optimal";"OM Dollars per Visit",#N/A,TRUE,"Optimal";"OM Total Visits",#N/A,TRUE,"Optimal";"OM PMPM",#N/A,TRUE,"Optimal"}</definedName>
    <definedName name="wrn.Adjusted._.Optimal." localSheetId="34" hidden="1">{"OM Visits",#N/A,TRUE,"Optimal";"OM Dollars per Hour",#N/A,TRUE,"Optimal";"OM Hours per Visit",#N/A,TRUE,"Optimal";"OM Dollars per Visit",#N/A,TRUE,"Optimal";"OM Total Visits",#N/A,TRUE,"Optimal";"OM PMPM",#N/A,TRUE,"Optimal"}</definedName>
    <definedName name="wrn.Adjusted._.Optimal." localSheetId="36" hidden="1">{"OM Visits",#N/A,TRUE,"Optimal";"OM Dollars per Hour",#N/A,TRUE,"Optimal";"OM Hours per Visit",#N/A,TRUE,"Optimal";"OM Dollars per Visit",#N/A,TRUE,"Optimal";"OM Total Visits",#N/A,TRUE,"Optimal";"OM PMPM",#N/A,TRUE,"Optimal"}</definedName>
    <definedName name="wrn.Adjusted._.Optimal." localSheetId="38" hidden="1">{"OM Visits",#N/A,TRUE,"Optimal";"OM Dollars per Hour",#N/A,TRUE,"Optimal";"OM Hours per Visit",#N/A,TRUE,"Optimal";"OM Dollars per Visit",#N/A,TRUE,"Optimal";"OM Total Visits",#N/A,TRUE,"Optimal";"OM PMPM",#N/A,TRUE,"Optimal"}</definedName>
    <definedName name="wrn.Adjusted._.Optimal." localSheetId="40" hidden="1">{"OM Visits",#N/A,TRUE,"Optimal";"OM Dollars per Hour",#N/A,TRUE,"Optimal";"OM Hours per Visit",#N/A,TRUE,"Optimal";"OM Dollars per Visit",#N/A,TRUE,"Optimal";"OM Total Visits",#N/A,TRUE,"Optimal";"OM PMPM",#N/A,TRUE,"Optimal"}</definedName>
    <definedName name="wrn.Adjusted._.Optimal." localSheetId="8" hidden="1">{"OM Visits",#N/A,TRUE,"Optimal";"OM Dollars per Hour",#N/A,TRUE,"Optimal";"OM Hours per Visit",#N/A,TRUE,"Optimal";"OM Dollars per Visit",#N/A,TRUE,"Optimal";"OM Total Visits",#N/A,TRUE,"Optimal";"OM PMPM",#N/A,TRUE,"Optimal"}</definedName>
    <definedName name="wrn.Adjusted._.Optimal." localSheetId="42" hidden="1">{"OM Visits",#N/A,TRUE,"Optimal";"OM Dollars per Hour",#N/A,TRUE,"Optimal";"OM Hours per Visit",#N/A,TRUE,"Optimal";"OM Dollars per Visit",#N/A,TRUE,"Optimal";"OM Total Visits",#N/A,TRUE,"Optimal";"OM PMPM",#N/A,TRUE,"Optimal"}</definedName>
    <definedName name="wrn.Adjusted._.Optimal." localSheetId="44" hidden="1">{"OM Visits",#N/A,TRUE,"Optimal";"OM Dollars per Hour",#N/A,TRUE,"Optimal";"OM Hours per Visit",#N/A,TRUE,"Optimal";"OM Dollars per Visit",#N/A,TRUE,"Optimal";"OM Total Visits",#N/A,TRUE,"Optimal";"OM PMPM",#N/A,TRUE,"Optimal"}</definedName>
    <definedName name="wrn.Adjusted._.Optimal." localSheetId="10" hidden="1">{"OM Visits",#N/A,TRUE,"Optimal";"OM Dollars per Hour",#N/A,TRUE,"Optimal";"OM Hours per Visit",#N/A,TRUE,"Optimal";"OM Dollars per Visit",#N/A,TRUE,"Optimal";"OM Total Visits",#N/A,TRUE,"Optimal";"OM PMPM",#N/A,TRUE,"Optimal"}</definedName>
    <definedName name="wrn.Adjusted._.Optimal." localSheetId="12" hidden="1">{"OM Visits",#N/A,TRUE,"Optimal";"OM Dollars per Hour",#N/A,TRUE,"Optimal";"OM Hours per Visit",#N/A,TRUE,"Optimal";"OM Dollars per Visit",#N/A,TRUE,"Optimal";"OM Total Visits",#N/A,TRUE,"Optimal";"OM PMPM",#N/A,TRUE,"Optimal"}</definedName>
    <definedName name="wrn.Adjusted._.Optimal." localSheetId="14" hidden="1">{"OM Visits",#N/A,TRUE,"Optimal";"OM Dollars per Hour",#N/A,TRUE,"Optimal";"OM Hours per Visit",#N/A,TRUE,"Optimal";"OM Dollars per Visit",#N/A,TRUE,"Optimal";"OM Total Visits",#N/A,TRUE,"Optimal";"OM PMPM",#N/A,TRUE,"Optimal"}</definedName>
    <definedName name="wrn.Adjusted._.Optimal." localSheetId="16" hidden="1">{"OM Visits",#N/A,TRUE,"Optimal";"OM Dollars per Hour",#N/A,TRUE,"Optimal";"OM Hours per Visit",#N/A,TRUE,"Optimal";"OM Dollars per Visit",#N/A,TRUE,"Optimal";"OM Total Visits",#N/A,TRUE,"Optimal";"OM PMPM",#N/A,TRUE,"Optimal"}</definedName>
    <definedName name="wrn.Adjusted._.Optimal." localSheetId="18" hidden="1">{"OM Visits",#N/A,TRUE,"Optimal";"OM Dollars per Hour",#N/A,TRUE,"Optimal";"OM Hours per Visit",#N/A,TRUE,"Optimal";"OM Dollars per Visit",#N/A,TRUE,"Optimal";"OM Total Visits",#N/A,TRUE,"Optimal";"OM PMPM",#N/A,TRUE,"Optimal"}</definedName>
    <definedName name="wrn.Adjusted._.Optimal." localSheetId="20" hidden="1">{"OM Visits",#N/A,TRUE,"Optimal";"OM Dollars per Hour",#N/A,TRUE,"Optimal";"OM Hours per Visit",#N/A,TRUE,"Optimal";"OM Dollars per Visit",#N/A,TRUE,"Optimal";"OM Total Visits",#N/A,TRUE,"Optimal";"OM PMPM",#N/A,TRUE,"Optimal"}</definedName>
    <definedName name="wrn.Adjusted._.Optimal." localSheetId="21" hidden="1">{"OM Visits",#N/A,TRUE,"Optimal";"OM Dollars per Hour",#N/A,TRUE,"Optimal";"OM Hours per Visit",#N/A,TRUE,"Optimal";"OM Dollars per Visit",#N/A,TRUE,"Optimal";"OM Total Visits",#N/A,TRUE,"Optimal";"OM PMPM",#N/A,TRUE,"Optimal"}</definedName>
    <definedName name="wrn.Adjusted._.Optimal." localSheetId="23" hidden="1">{"OM Visits",#N/A,TRUE,"Optimal";"OM Dollars per Hour",#N/A,TRUE,"Optimal";"OM Hours per Visit",#N/A,TRUE,"Optimal";"OM Dollars per Visit",#N/A,TRUE,"Optimal";"OM Total Visits",#N/A,TRUE,"Optimal";"OM PMPM",#N/A,TRUE,"Optimal"}</definedName>
    <definedName name="wrn.Adjusted._.Optimal." localSheetId="25" hidden="1">{"OM Visits",#N/A,TRUE,"Optimal";"OM Dollars per Hour",#N/A,TRUE,"Optimal";"OM Hours per Visit",#N/A,TRUE,"Optimal";"OM Dollars per Visit",#N/A,TRUE,"Optimal";"OM Total Visits",#N/A,TRUE,"Optimal";"OM PMPM",#N/A,TRUE,"Optimal"}</definedName>
    <definedName name="wrn.Adjusted._.Optimal." localSheetId="27" hidden="1">{"OM Visits",#N/A,TRUE,"Optimal";"OM Dollars per Hour",#N/A,TRUE,"Optimal";"OM Hours per Visit",#N/A,TRUE,"Optimal";"OM Dollars per Visit",#N/A,TRUE,"Optimal";"OM Total Visits",#N/A,TRUE,"Optimal";"OM PMPM",#N/A,TRUE,"Optimal"}</definedName>
    <definedName name="wrn.Adjusted._.Optimal." localSheetId="29" hidden="1">{"OM Visits",#N/A,TRUE,"Optimal";"OM Dollars per Hour",#N/A,TRUE,"Optimal";"OM Hours per Visit",#N/A,TRUE,"Optimal";"OM Dollars per Visit",#N/A,TRUE,"Optimal";"OM Total Visits",#N/A,TRUE,"Optimal";"OM PMPM",#N/A,TRUE,"Optimal"}</definedName>
    <definedName name="wrn.Adjusted._.Optimal." localSheetId="31" hidden="1">{"OM Visits",#N/A,TRUE,"Optimal";"OM Dollars per Hour",#N/A,TRUE,"Optimal";"OM Hours per Visit",#N/A,TRUE,"Optimal";"OM Dollars per Visit",#N/A,TRUE,"Optimal";"OM Total Visits",#N/A,TRUE,"Optimal";"OM PMPM",#N/A,TRUE,"Optimal"}</definedName>
    <definedName name="wrn.Adjusted._.Optimal." localSheetId="33" hidden="1">{"OM Visits",#N/A,TRUE,"Optimal";"OM Dollars per Hour",#N/A,TRUE,"Optimal";"OM Hours per Visit",#N/A,TRUE,"Optimal";"OM Dollars per Visit",#N/A,TRUE,"Optimal";"OM Total Visits",#N/A,TRUE,"Optimal";"OM PMPM",#N/A,TRUE,"Optimal"}</definedName>
    <definedName name="wrn.Adjusted._.Optimal." localSheetId="35" hidden="1">{"OM Visits",#N/A,TRUE,"Optimal";"OM Dollars per Hour",#N/A,TRUE,"Optimal";"OM Hours per Visit",#N/A,TRUE,"Optimal";"OM Dollars per Visit",#N/A,TRUE,"Optimal";"OM Total Visits",#N/A,TRUE,"Optimal";"OM PMPM",#N/A,TRUE,"Optimal"}</definedName>
    <definedName name="wrn.Adjusted._.Optimal." localSheetId="37" hidden="1">{"OM Visits",#N/A,TRUE,"Optimal";"OM Dollars per Hour",#N/A,TRUE,"Optimal";"OM Hours per Visit",#N/A,TRUE,"Optimal";"OM Dollars per Visit",#N/A,TRUE,"Optimal";"OM Total Visits",#N/A,TRUE,"Optimal";"OM PMPM",#N/A,TRUE,"Optimal"}</definedName>
    <definedName name="wrn.Adjusted._.Optimal." localSheetId="39" hidden="1">{"OM Visits",#N/A,TRUE,"Optimal";"OM Dollars per Hour",#N/A,TRUE,"Optimal";"OM Hours per Visit",#N/A,TRUE,"Optimal";"OM Dollars per Visit",#N/A,TRUE,"Optimal";"OM Total Visits",#N/A,TRUE,"Optimal";"OM PMPM",#N/A,TRUE,"Optimal"}</definedName>
    <definedName name="wrn.Adjusted._.Optimal." localSheetId="7" hidden="1">{"OM Visits",#N/A,TRUE,"Optimal";"OM Dollars per Hour",#N/A,TRUE,"Optimal";"OM Hours per Visit",#N/A,TRUE,"Optimal";"OM Dollars per Visit",#N/A,TRUE,"Optimal";"OM Total Visits",#N/A,TRUE,"Optimal";"OM PMPM",#N/A,TRUE,"Optimal"}</definedName>
    <definedName name="wrn.Adjusted._.Optimal." localSheetId="41" hidden="1">{"OM Visits",#N/A,TRUE,"Optimal";"OM Dollars per Hour",#N/A,TRUE,"Optimal";"OM Hours per Visit",#N/A,TRUE,"Optimal";"OM Dollars per Visit",#N/A,TRUE,"Optimal";"OM Total Visits",#N/A,TRUE,"Optimal";"OM PMPM",#N/A,TRUE,"Optimal"}</definedName>
    <definedName name="wrn.Adjusted._.Optimal." localSheetId="43" hidden="1">{"OM Visits",#N/A,TRUE,"Optimal";"OM Dollars per Hour",#N/A,TRUE,"Optimal";"OM Hours per Visit",#N/A,TRUE,"Optimal";"OM Dollars per Visit",#N/A,TRUE,"Optimal";"OM Total Visits",#N/A,TRUE,"Optimal";"OM PMPM",#N/A,TRUE,"Optimal"}</definedName>
    <definedName name="wrn.Adjusted._.Optimal." localSheetId="9" hidden="1">{"OM Visits",#N/A,TRUE,"Optimal";"OM Dollars per Hour",#N/A,TRUE,"Optimal";"OM Hours per Visit",#N/A,TRUE,"Optimal";"OM Dollars per Visit",#N/A,TRUE,"Optimal";"OM Total Visits",#N/A,TRUE,"Optimal";"OM PMPM",#N/A,TRUE,"Optimal"}</definedName>
    <definedName name="wrn.Adjusted._.Optimal." localSheetId="11" hidden="1">{"OM Visits",#N/A,TRUE,"Optimal";"OM Dollars per Hour",#N/A,TRUE,"Optimal";"OM Hours per Visit",#N/A,TRUE,"Optimal";"OM Dollars per Visit",#N/A,TRUE,"Optimal";"OM Total Visits",#N/A,TRUE,"Optimal";"OM PMPM",#N/A,TRUE,"Optimal"}</definedName>
    <definedName name="wrn.Adjusted._.Optimal." localSheetId="13" hidden="1">{"OM Visits",#N/A,TRUE,"Optimal";"OM Dollars per Hour",#N/A,TRUE,"Optimal";"OM Hours per Visit",#N/A,TRUE,"Optimal";"OM Dollars per Visit",#N/A,TRUE,"Optimal";"OM Total Visits",#N/A,TRUE,"Optimal";"OM PMPM",#N/A,TRUE,"Optimal"}</definedName>
    <definedName name="wrn.Adjusted._.Optimal." localSheetId="15" hidden="1">{"OM Visits",#N/A,TRUE,"Optimal";"OM Dollars per Hour",#N/A,TRUE,"Optimal";"OM Hours per Visit",#N/A,TRUE,"Optimal";"OM Dollars per Visit",#N/A,TRUE,"Optimal";"OM Total Visits",#N/A,TRUE,"Optimal";"OM PMPM",#N/A,TRUE,"Optimal"}</definedName>
    <definedName name="wrn.Adjusted._.Optimal." localSheetId="17" hidden="1">{"OM Visits",#N/A,TRUE,"Optimal";"OM Dollars per Hour",#N/A,TRUE,"Optimal";"OM Hours per Visit",#N/A,TRUE,"Optimal";"OM Dollars per Visit",#N/A,TRUE,"Optimal";"OM Total Visits",#N/A,TRUE,"Optimal";"OM PMPM",#N/A,TRUE,"Optimal"}</definedName>
    <definedName name="wrn.Adjusted._.Optimal." localSheetId="19" hidden="1">{"OM Visits",#N/A,TRUE,"Optimal";"OM Dollars per Hour",#N/A,TRUE,"Optimal";"OM Hours per Visit",#N/A,TRUE,"Optimal";"OM Dollars per Visit",#N/A,TRUE,"Optimal";"OM Total Visits",#N/A,TRUE,"Optimal";"OM PMPM",#N/A,TRUE,"Optimal"}</definedName>
    <definedName name="wrn.Adjusted._.Optimal." localSheetId="65" hidden="1">{"OM Visits",#N/A,TRUE,"Optimal";"OM Dollars per Hour",#N/A,TRUE,"Optimal";"OM Hours per Visit",#N/A,TRUE,"Optimal";"OM Dollars per Visit",#N/A,TRUE,"Optimal";"OM Total Visits",#N/A,TRUE,"Optimal";"OM PMPM",#N/A,TRUE,"Optimal"}</definedName>
    <definedName name="wrn.Adjusted._.Optimal." localSheetId="67" hidden="1">{"OM Visits",#N/A,TRUE,"Optimal";"OM Dollars per Hour",#N/A,TRUE,"Optimal";"OM Hours per Visit",#N/A,TRUE,"Optimal";"OM Dollars per Visit",#N/A,TRUE,"Optimal";"OM Total Visits",#N/A,TRUE,"Optimal";"OM PMPM",#N/A,TRUE,"Optimal"}</definedName>
    <definedName name="wrn.Adjusted._.Optimal." localSheetId="69" hidden="1">{"OM Visits",#N/A,TRUE,"Optimal";"OM Dollars per Hour",#N/A,TRUE,"Optimal";"OM Hours per Visit",#N/A,TRUE,"Optimal";"OM Dollars per Visit",#N/A,TRUE,"Optimal";"OM Total Visits",#N/A,TRUE,"Optimal";"OM PMPM",#N/A,TRUE,"Optimal"}</definedName>
    <definedName name="wrn.Adjusted._.Optimal." localSheetId="71" hidden="1">{"OM Visits",#N/A,TRUE,"Optimal";"OM Dollars per Hour",#N/A,TRUE,"Optimal";"OM Hours per Visit",#N/A,TRUE,"Optimal";"OM Dollars per Visit",#N/A,TRUE,"Optimal";"OM Total Visits",#N/A,TRUE,"Optimal";"OM PMPM",#N/A,TRUE,"Optimal"}</definedName>
    <definedName name="wrn.Adjusted._.Optimal." localSheetId="73" hidden="1">{"OM Visits",#N/A,TRUE,"Optimal";"OM Dollars per Hour",#N/A,TRUE,"Optimal";"OM Hours per Visit",#N/A,TRUE,"Optimal";"OM Dollars per Visit",#N/A,TRUE,"Optimal";"OM Total Visits",#N/A,TRUE,"Optimal";"OM PMPM",#N/A,TRUE,"Optimal"}</definedName>
    <definedName name="wrn.Adjusted._.Optimal." localSheetId="75" hidden="1">{"OM Visits",#N/A,TRUE,"Optimal";"OM Dollars per Hour",#N/A,TRUE,"Optimal";"OM Hours per Visit",#N/A,TRUE,"Optimal";"OM Dollars per Visit",#N/A,TRUE,"Optimal";"OM Total Visits",#N/A,TRUE,"Optimal";"OM PMPM",#N/A,TRUE,"Optimal"}</definedName>
    <definedName name="wrn.Adjusted._.Optimal." localSheetId="77" hidden="1">{"OM Visits",#N/A,TRUE,"Optimal";"OM Dollars per Hour",#N/A,TRUE,"Optimal";"OM Hours per Visit",#N/A,TRUE,"Optimal";"OM Dollars per Visit",#N/A,TRUE,"Optimal";"OM Total Visits",#N/A,TRUE,"Optimal";"OM PMPM",#N/A,TRUE,"Optimal"}</definedName>
    <definedName name="wrn.Adjusted._.Optimal." localSheetId="79" hidden="1">{"OM Visits",#N/A,TRUE,"Optimal";"OM Dollars per Hour",#N/A,TRUE,"Optimal";"OM Hours per Visit",#N/A,TRUE,"Optimal";"OM Dollars per Visit",#N/A,TRUE,"Optimal";"OM Total Visits",#N/A,TRUE,"Optimal";"OM PMPM",#N/A,TRUE,"Optimal"}</definedName>
    <definedName name="wrn.Adjusted._.Optimal." localSheetId="81" hidden="1">{"OM Visits",#N/A,TRUE,"Optimal";"OM Dollars per Hour",#N/A,TRUE,"Optimal";"OM Hours per Visit",#N/A,TRUE,"Optimal";"OM Dollars per Visit",#N/A,TRUE,"Optimal";"OM Total Visits",#N/A,TRUE,"Optimal";"OM PMPM",#N/A,TRUE,"Optimal"}</definedName>
    <definedName name="wrn.Adjusted._.Optimal." localSheetId="49" hidden="1">{"OM Visits",#N/A,TRUE,"Optimal";"OM Dollars per Hour",#N/A,TRUE,"Optimal";"OM Hours per Visit",#N/A,TRUE,"Optimal";"OM Dollars per Visit",#N/A,TRUE,"Optimal";"OM Total Visits",#N/A,TRUE,"Optimal";"OM PMPM",#N/A,TRUE,"Optimal"}</definedName>
    <definedName name="wrn.Adjusted._.Optimal." localSheetId="51" hidden="1">{"OM Visits",#N/A,TRUE,"Optimal";"OM Dollars per Hour",#N/A,TRUE,"Optimal";"OM Hours per Visit",#N/A,TRUE,"Optimal";"OM Dollars per Visit",#N/A,TRUE,"Optimal";"OM Total Visits",#N/A,TRUE,"Optimal";"OM PMPM",#N/A,TRUE,"Optimal"}</definedName>
    <definedName name="wrn.Adjusted._.Optimal." localSheetId="53" hidden="1">{"OM Visits",#N/A,TRUE,"Optimal";"OM Dollars per Hour",#N/A,TRUE,"Optimal";"OM Hours per Visit",#N/A,TRUE,"Optimal";"OM Dollars per Visit",#N/A,TRUE,"Optimal";"OM Total Visits",#N/A,TRUE,"Optimal";"OM PMPM",#N/A,TRUE,"Optimal"}</definedName>
    <definedName name="wrn.Adjusted._.Optimal." localSheetId="55" hidden="1">{"OM Visits",#N/A,TRUE,"Optimal";"OM Dollars per Hour",#N/A,TRUE,"Optimal";"OM Hours per Visit",#N/A,TRUE,"Optimal";"OM Dollars per Visit",#N/A,TRUE,"Optimal";"OM Total Visits",#N/A,TRUE,"Optimal";"OM PMPM",#N/A,TRUE,"Optimal"}</definedName>
    <definedName name="wrn.Adjusted._.Optimal." localSheetId="57" hidden="1">{"OM Visits",#N/A,TRUE,"Optimal";"OM Dollars per Hour",#N/A,TRUE,"Optimal";"OM Hours per Visit",#N/A,TRUE,"Optimal";"OM Dollars per Visit",#N/A,TRUE,"Optimal";"OM Total Visits",#N/A,TRUE,"Optimal";"OM PMPM",#N/A,TRUE,"Optimal"}</definedName>
    <definedName name="wrn.Adjusted._.Optimal." localSheetId="59" hidden="1">{"OM Visits",#N/A,TRUE,"Optimal";"OM Dollars per Hour",#N/A,TRUE,"Optimal";"OM Hours per Visit",#N/A,TRUE,"Optimal";"OM Dollars per Visit",#N/A,TRUE,"Optimal";"OM Total Visits",#N/A,TRUE,"Optimal";"OM PMPM",#N/A,TRUE,"Optimal"}</definedName>
    <definedName name="wrn.Adjusted._.Optimal." localSheetId="61" hidden="1">{"OM Visits",#N/A,TRUE,"Optimal";"OM Dollars per Hour",#N/A,TRUE,"Optimal";"OM Hours per Visit",#N/A,TRUE,"Optimal";"OM Dollars per Visit",#N/A,TRUE,"Optimal";"OM Total Visits",#N/A,TRUE,"Optimal";"OM PMPM",#N/A,TRUE,"Optimal"}</definedName>
    <definedName name="wrn.Adjusted._.Optimal." localSheetId="63" hidden="1">{"OM Visits",#N/A,TRUE,"Optimal";"OM Dollars per Hour",#N/A,TRUE,"Optimal";"OM Hours per Visit",#N/A,TRUE,"Optimal";"OM Dollars per Visit",#N/A,TRUE,"Optimal";"OM Total Visits",#N/A,TRUE,"Optimal";"OM PMPM",#N/A,TRUE,"Optimal"}</definedName>
    <definedName name="wrn.Adjusted._.Optimal." localSheetId="64" hidden="1">{"OM Visits",#N/A,TRUE,"Optimal";"OM Dollars per Hour",#N/A,TRUE,"Optimal";"OM Hours per Visit",#N/A,TRUE,"Optimal";"OM Dollars per Visit",#N/A,TRUE,"Optimal";"OM Total Visits",#N/A,TRUE,"Optimal";"OM PMPM",#N/A,TRUE,"Optimal"}</definedName>
    <definedName name="wrn.Adjusted._.Optimal." localSheetId="66" hidden="1">{"OM Visits",#N/A,TRUE,"Optimal";"OM Dollars per Hour",#N/A,TRUE,"Optimal";"OM Hours per Visit",#N/A,TRUE,"Optimal";"OM Dollars per Visit",#N/A,TRUE,"Optimal";"OM Total Visits",#N/A,TRUE,"Optimal";"OM PMPM",#N/A,TRUE,"Optimal"}</definedName>
    <definedName name="wrn.Adjusted._.Optimal." localSheetId="68" hidden="1">{"OM Visits",#N/A,TRUE,"Optimal";"OM Dollars per Hour",#N/A,TRUE,"Optimal";"OM Hours per Visit",#N/A,TRUE,"Optimal";"OM Dollars per Visit",#N/A,TRUE,"Optimal";"OM Total Visits",#N/A,TRUE,"Optimal";"OM PMPM",#N/A,TRUE,"Optimal"}</definedName>
    <definedName name="wrn.Adjusted._.Optimal." localSheetId="70" hidden="1">{"OM Visits",#N/A,TRUE,"Optimal";"OM Dollars per Hour",#N/A,TRUE,"Optimal";"OM Hours per Visit",#N/A,TRUE,"Optimal";"OM Dollars per Visit",#N/A,TRUE,"Optimal";"OM Total Visits",#N/A,TRUE,"Optimal";"OM PMPM",#N/A,TRUE,"Optimal"}</definedName>
    <definedName name="wrn.Adjusted._.Optimal." localSheetId="72" hidden="1">{"OM Visits",#N/A,TRUE,"Optimal";"OM Dollars per Hour",#N/A,TRUE,"Optimal";"OM Hours per Visit",#N/A,TRUE,"Optimal";"OM Dollars per Visit",#N/A,TRUE,"Optimal";"OM Total Visits",#N/A,TRUE,"Optimal";"OM PMPM",#N/A,TRUE,"Optimal"}</definedName>
    <definedName name="wrn.Adjusted._.Optimal." localSheetId="74" hidden="1">{"OM Visits",#N/A,TRUE,"Optimal";"OM Dollars per Hour",#N/A,TRUE,"Optimal";"OM Hours per Visit",#N/A,TRUE,"Optimal";"OM Dollars per Visit",#N/A,TRUE,"Optimal";"OM Total Visits",#N/A,TRUE,"Optimal";"OM PMPM",#N/A,TRUE,"Optimal"}</definedName>
    <definedName name="wrn.Adjusted._.Optimal." localSheetId="76" hidden="1">{"OM Visits",#N/A,TRUE,"Optimal";"OM Dollars per Hour",#N/A,TRUE,"Optimal";"OM Hours per Visit",#N/A,TRUE,"Optimal";"OM Dollars per Visit",#N/A,TRUE,"Optimal";"OM Total Visits",#N/A,TRUE,"Optimal";"OM PMPM",#N/A,TRUE,"Optimal"}</definedName>
    <definedName name="wrn.Adjusted._.Optimal." localSheetId="78" hidden="1">{"OM Visits",#N/A,TRUE,"Optimal";"OM Dollars per Hour",#N/A,TRUE,"Optimal";"OM Hours per Visit",#N/A,TRUE,"Optimal";"OM Dollars per Visit",#N/A,TRUE,"Optimal";"OM Total Visits",#N/A,TRUE,"Optimal";"OM PMPM",#N/A,TRUE,"Optimal"}</definedName>
    <definedName name="wrn.Adjusted._.Optimal." localSheetId="80" hidden="1">{"OM Visits",#N/A,TRUE,"Optimal";"OM Dollars per Hour",#N/A,TRUE,"Optimal";"OM Hours per Visit",#N/A,TRUE,"Optimal";"OM Dollars per Visit",#N/A,TRUE,"Optimal";"OM Total Visits",#N/A,TRUE,"Optimal";"OM PMPM",#N/A,TRUE,"Optimal"}</definedName>
    <definedName name="wrn.Adjusted._.Optimal." localSheetId="48" hidden="1">{"OM Visits",#N/A,TRUE,"Optimal";"OM Dollars per Hour",#N/A,TRUE,"Optimal";"OM Hours per Visit",#N/A,TRUE,"Optimal";"OM Dollars per Visit",#N/A,TRUE,"Optimal";"OM Total Visits",#N/A,TRUE,"Optimal";"OM PMPM",#N/A,TRUE,"Optimal"}</definedName>
    <definedName name="wrn.Adjusted._.Optimal." localSheetId="50" hidden="1">{"OM Visits",#N/A,TRUE,"Optimal";"OM Dollars per Hour",#N/A,TRUE,"Optimal";"OM Hours per Visit",#N/A,TRUE,"Optimal";"OM Dollars per Visit",#N/A,TRUE,"Optimal";"OM Total Visits",#N/A,TRUE,"Optimal";"OM PMPM",#N/A,TRUE,"Optimal"}</definedName>
    <definedName name="wrn.Adjusted._.Optimal." localSheetId="52" hidden="1">{"OM Visits",#N/A,TRUE,"Optimal";"OM Dollars per Hour",#N/A,TRUE,"Optimal";"OM Hours per Visit",#N/A,TRUE,"Optimal";"OM Dollars per Visit",#N/A,TRUE,"Optimal";"OM Total Visits",#N/A,TRUE,"Optimal";"OM PMPM",#N/A,TRUE,"Optimal"}</definedName>
    <definedName name="wrn.Adjusted._.Optimal." localSheetId="54" hidden="1">{"OM Visits",#N/A,TRUE,"Optimal";"OM Dollars per Hour",#N/A,TRUE,"Optimal";"OM Hours per Visit",#N/A,TRUE,"Optimal";"OM Dollars per Visit",#N/A,TRUE,"Optimal";"OM Total Visits",#N/A,TRUE,"Optimal";"OM PMPM",#N/A,TRUE,"Optimal"}</definedName>
    <definedName name="wrn.Adjusted._.Optimal." localSheetId="56" hidden="1">{"OM Visits",#N/A,TRUE,"Optimal";"OM Dollars per Hour",#N/A,TRUE,"Optimal";"OM Hours per Visit",#N/A,TRUE,"Optimal";"OM Dollars per Visit",#N/A,TRUE,"Optimal";"OM Total Visits",#N/A,TRUE,"Optimal";"OM PMPM",#N/A,TRUE,"Optimal"}</definedName>
    <definedName name="wrn.Adjusted._.Optimal." localSheetId="58" hidden="1">{"OM Visits",#N/A,TRUE,"Optimal";"OM Dollars per Hour",#N/A,TRUE,"Optimal";"OM Hours per Visit",#N/A,TRUE,"Optimal";"OM Dollars per Visit",#N/A,TRUE,"Optimal";"OM Total Visits",#N/A,TRUE,"Optimal";"OM PMPM",#N/A,TRUE,"Optimal"}</definedName>
    <definedName name="wrn.Adjusted._.Optimal." localSheetId="60" hidden="1">{"OM Visits",#N/A,TRUE,"Optimal";"OM Dollars per Hour",#N/A,TRUE,"Optimal";"OM Hours per Visit",#N/A,TRUE,"Optimal";"OM Dollars per Visit",#N/A,TRUE,"Optimal";"OM Total Visits",#N/A,TRUE,"Optimal";"OM PMPM",#N/A,TRUE,"Optimal"}</definedName>
    <definedName name="wrn.Adjusted._.Optimal." localSheetId="62" hidden="1">{"OM Visits",#N/A,TRUE,"Optimal";"OM Dollars per Hour",#N/A,TRUE,"Optimal";"OM Hours per Visit",#N/A,TRUE,"Optimal";"OM Dollars per Visit",#N/A,TRUE,"Optimal";"OM Total Visits",#N/A,TRUE,"Optimal";"OM PMPM",#N/A,TRUE,"Optimal"}</definedName>
    <definedName name="wrn.Adjusted._.Optimal." localSheetId="92" hidden="1">{"OM Visits",#N/A,TRUE,"Optimal";"OM Dollars per Hour",#N/A,TRUE,"Optimal";"OM Hours per Visit",#N/A,TRUE,"Optimal";"OM Dollars per Visit",#N/A,TRUE,"Optimal";"OM Total Visits",#N/A,TRUE,"Optimal";"OM PMPM",#N/A,TRUE,"Optimal"}</definedName>
    <definedName name="wrn.Adjusted._.Optimal." localSheetId="86" hidden="1">{"OM Visits",#N/A,TRUE,"Optimal";"OM Dollars per Hour",#N/A,TRUE,"Optimal";"OM Hours per Visit",#N/A,TRUE,"Optimal";"OM Dollars per Visit",#N/A,TRUE,"Optimal";"OM Total Visits",#N/A,TRUE,"Optimal";"OM PMPM",#N/A,TRUE,"Optimal"}</definedName>
    <definedName name="wrn.Adjusted._.Optimal." localSheetId="88" hidden="1">{"OM Visits",#N/A,TRUE,"Optimal";"OM Dollars per Hour",#N/A,TRUE,"Optimal";"OM Hours per Visit",#N/A,TRUE,"Optimal";"OM Dollars per Visit",#N/A,TRUE,"Optimal";"OM Total Visits",#N/A,TRUE,"Optimal";"OM PMPM",#N/A,TRUE,"Optimal"}</definedName>
    <definedName name="wrn.Adjusted._.Optimal." localSheetId="90" hidden="1">{"OM Visits",#N/A,TRUE,"Optimal";"OM Dollars per Hour",#N/A,TRUE,"Optimal";"OM Hours per Visit",#N/A,TRUE,"Optimal";"OM Dollars per Visit",#N/A,TRUE,"Optimal";"OM Total Visits",#N/A,TRUE,"Optimal";"OM PMPM",#N/A,TRUE,"Optimal"}</definedName>
    <definedName name="wrn.Adjusted._.Optimal." localSheetId="91" hidden="1">{"OM Visits",#N/A,TRUE,"Optimal";"OM Dollars per Hour",#N/A,TRUE,"Optimal";"OM Hours per Visit",#N/A,TRUE,"Optimal";"OM Dollars per Visit",#N/A,TRUE,"Optimal";"OM Total Visits",#N/A,TRUE,"Optimal";"OM PMPM",#N/A,TRUE,"Optimal"}</definedName>
    <definedName name="wrn.Adjusted._.Optimal." localSheetId="85" hidden="1">{"OM Visits",#N/A,TRUE,"Optimal";"OM Dollars per Hour",#N/A,TRUE,"Optimal";"OM Hours per Visit",#N/A,TRUE,"Optimal";"OM Dollars per Visit",#N/A,TRUE,"Optimal";"OM Total Visits",#N/A,TRUE,"Optimal";"OM PMPM",#N/A,TRUE,"Optimal"}</definedName>
    <definedName name="wrn.Adjusted._.Optimal." localSheetId="87" hidden="1">{"OM Visits",#N/A,TRUE,"Optimal";"OM Dollars per Hour",#N/A,TRUE,"Optimal";"OM Hours per Visit",#N/A,TRUE,"Optimal";"OM Dollars per Visit",#N/A,TRUE,"Optimal";"OM Total Visits",#N/A,TRUE,"Optimal";"OM PMPM",#N/A,TRUE,"Optimal"}</definedName>
    <definedName name="wrn.Adjusted._.Optimal." localSheetId="89" hidden="1">{"OM Visits",#N/A,TRUE,"Optimal";"OM Dollars per Hour",#N/A,TRUE,"Optimal";"OM Hours per Visit",#N/A,TRUE,"Optimal";"OM Dollars per Visit",#N/A,TRUE,"Optimal";"OM Total Visits",#N/A,TRUE,"Optimal";"OM PMPM",#N/A,TRUE,"Optimal"}</definedName>
    <definedName name="wrn.Adjusted._.Optimal." hidden="1">{"OM Visits",#N/A,TRUE,"Optimal";"OM Dollars per Hour",#N/A,TRUE,"Optimal";"OM Hours per Visit",#N/A,TRUE,"Optimal";"OM Dollars per Visit",#N/A,TRUE,"Optimal";"OM Total Visits",#N/A,TRUE,"Optimal";"OM PMPM",#N/A,TRUE,"Optimal"}</definedName>
    <definedName name="wrn.Adjusted._.Unmanaged." localSheetId="22" hidden="1">{"UM Visits",#N/A,FALSE,"Unmanaged";"UM Dollars per Hour",#N/A,FALSE,"Unmanaged";"UM Hours per Visit",#N/A,FALSE,"Unmanaged";"UM Dollars per Visit",#N/A,FALSE,"Unmanaged";"UM Total Visits",#N/A,FALSE,"Unmanaged";"UM PMPM",#N/A,FALSE,"Unmanaged"}</definedName>
    <definedName name="wrn.Adjusted._.Unmanaged." localSheetId="24" hidden="1">{"UM Visits",#N/A,FALSE,"Unmanaged";"UM Dollars per Hour",#N/A,FALSE,"Unmanaged";"UM Hours per Visit",#N/A,FALSE,"Unmanaged";"UM Dollars per Visit",#N/A,FALSE,"Unmanaged";"UM Total Visits",#N/A,FALSE,"Unmanaged";"UM PMPM",#N/A,FALSE,"Unmanaged"}</definedName>
    <definedName name="wrn.Adjusted._.Unmanaged." localSheetId="26" hidden="1">{"UM Visits",#N/A,FALSE,"Unmanaged";"UM Dollars per Hour",#N/A,FALSE,"Unmanaged";"UM Hours per Visit",#N/A,FALSE,"Unmanaged";"UM Dollars per Visit",#N/A,FALSE,"Unmanaged";"UM Total Visits",#N/A,FALSE,"Unmanaged";"UM PMPM",#N/A,FALSE,"Unmanaged"}</definedName>
    <definedName name="wrn.Adjusted._.Unmanaged." localSheetId="28" hidden="1">{"UM Visits",#N/A,FALSE,"Unmanaged";"UM Dollars per Hour",#N/A,FALSE,"Unmanaged";"UM Hours per Visit",#N/A,FALSE,"Unmanaged";"UM Dollars per Visit",#N/A,FALSE,"Unmanaged";"UM Total Visits",#N/A,FALSE,"Unmanaged";"UM PMPM",#N/A,FALSE,"Unmanaged"}</definedName>
    <definedName name="wrn.Adjusted._.Unmanaged." localSheetId="30" hidden="1">{"UM Visits",#N/A,FALSE,"Unmanaged";"UM Dollars per Hour",#N/A,FALSE,"Unmanaged";"UM Hours per Visit",#N/A,FALSE,"Unmanaged";"UM Dollars per Visit",#N/A,FALSE,"Unmanaged";"UM Total Visits",#N/A,FALSE,"Unmanaged";"UM PMPM",#N/A,FALSE,"Unmanaged"}</definedName>
    <definedName name="wrn.Adjusted._.Unmanaged." localSheetId="32" hidden="1">{"UM Visits",#N/A,FALSE,"Unmanaged";"UM Dollars per Hour",#N/A,FALSE,"Unmanaged";"UM Hours per Visit",#N/A,FALSE,"Unmanaged";"UM Dollars per Visit",#N/A,FALSE,"Unmanaged";"UM Total Visits",#N/A,FALSE,"Unmanaged";"UM PMPM",#N/A,FALSE,"Unmanaged"}</definedName>
    <definedName name="wrn.Adjusted._.Unmanaged." localSheetId="34" hidden="1">{"UM Visits",#N/A,FALSE,"Unmanaged";"UM Dollars per Hour",#N/A,FALSE,"Unmanaged";"UM Hours per Visit",#N/A,FALSE,"Unmanaged";"UM Dollars per Visit",#N/A,FALSE,"Unmanaged";"UM Total Visits",#N/A,FALSE,"Unmanaged";"UM PMPM",#N/A,FALSE,"Unmanaged"}</definedName>
    <definedName name="wrn.Adjusted._.Unmanaged." localSheetId="36" hidden="1">{"UM Visits",#N/A,FALSE,"Unmanaged";"UM Dollars per Hour",#N/A,FALSE,"Unmanaged";"UM Hours per Visit",#N/A,FALSE,"Unmanaged";"UM Dollars per Visit",#N/A,FALSE,"Unmanaged";"UM Total Visits",#N/A,FALSE,"Unmanaged";"UM PMPM",#N/A,FALSE,"Unmanaged"}</definedName>
    <definedName name="wrn.Adjusted._.Unmanaged." localSheetId="38" hidden="1">{"UM Visits",#N/A,FALSE,"Unmanaged";"UM Dollars per Hour",#N/A,FALSE,"Unmanaged";"UM Hours per Visit",#N/A,FALSE,"Unmanaged";"UM Dollars per Visit",#N/A,FALSE,"Unmanaged";"UM Total Visits",#N/A,FALSE,"Unmanaged";"UM PMPM",#N/A,FALSE,"Unmanaged"}</definedName>
    <definedName name="wrn.Adjusted._.Unmanaged." localSheetId="40" hidden="1">{"UM Visits",#N/A,FALSE,"Unmanaged";"UM Dollars per Hour",#N/A,FALSE,"Unmanaged";"UM Hours per Visit",#N/A,FALSE,"Unmanaged";"UM Dollars per Visit",#N/A,FALSE,"Unmanaged";"UM Total Visits",#N/A,FALSE,"Unmanaged";"UM PMPM",#N/A,FALSE,"Unmanaged"}</definedName>
    <definedName name="wrn.Adjusted._.Unmanaged." localSheetId="8" hidden="1">{"UM Visits",#N/A,FALSE,"Unmanaged";"UM Dollars per Hour",#N/A,FALSE,"Unmanaged";"UM Hours per Visit",#N/A,FALSE,"Unmanaged";"UM Dollars per Visit",#N/A,FALSE,"Unmanaged";"UM Total Visits",#N/A,FALSE,"Unmanaged";"UM PMPM",#N/A,FALSE,"Unmanaged"}</definedName>
    <definedName name="wrn.Adjusted._.Unmanaged." localSheetId="42" hidden="1">{"UM Visits",#N/A,FALSE,"Unmanaged";"UM Dollars per Hour",#N/A,FALSE,"Unmanaged";"UM Hours per Visit",#N/A,FALSE,"Unmanaged";"UM Dollars per Visit",#N/A,FALSE,"Unmanaged";"UM Total Visits",#N/A,FALSE,"Unmanaged";"UM PMPM",#N/A,FALSE,"Unmanaged"}</definedName>
    <definedName name="wrn.Adjusted._.Unmanaged." localSheetId="44" hidden="1">{"UM Visits",#N/A,FALSE,"Unmanaged";"UM Dollars per Hour",#N/A,FALSE,"Unmanaged";"UM Hours per Visit",#N/A,FALSE,"Unmanaged";"UM Dollars per Visit",#N/A,FALSE,"Unmanaged";"UM Total Visits",#N/A,FALSE,"Unmanaged";"UM PMPM",#N/A,FALSE,"Unmanaged"}</definedName>
    <definedName name="wrn.Adjusted._.Unmanaged." localSheetId="10" hidden="1">{"UM Visits",#N/A,FALSE,"Unmanaged";"UM Dollars per Hour",#N/A,FALSE,"Unmanaged";"UM Hours per Visit",#N/A,FALSE,"Unmanaged";"UM Dollars per Visit",#N/A,FALSE,"Unmanaged";"UM Total Visits",#N/A,FALSE,"Unmanaged";"UM PMPM",#N/A,FALSE,"Unmanaged"}</definedName>
    <definedName name="wrn.Adjusted._.Unmanaged." localSheetId="12" hidden="1">{"UM Visits",#N/A,FALSE,"Unmanaged";"UM Dollars per Hour",#N/A,FALSE,"Unmanaged";"UM Hours per Visit",#N/A,FALSE,"Unmanaged";"UM Dollars per Visit",#N/A,FALSE,"Unmanaged";"UM Total Visits",#N/A,FALSE,"Unmanaged";"UM PMPM",#N/A,FALSE,"Unmanaged"}</definedName>
    <definedName name="wrn.Adjusted._.Unmanaged." localSheetId="14" hidden="1">{"UM Visits",#N/A,FALSE,"Unmanaged";"UM Dollars per Hour",#N/A,FALSE,"Unmanaged";"UM Hours per Visit",#N/A,FALSE,"Unmanaged";"UM Dollars per Visit",#N/A,FALSE,"Unmanaged";"UM Total Visits",#N/A,FALSE,"Unmanaged";"UM PMPM",#N/A,FALSE,"Unmanaged"}</definedName>
    <definedName name="wrn.Adjusted._.Unmanaged." localSheetId="16" hidden="1">{"UM Visits",#N/A,FALSE,"Unmanaged";"UM Dollars per Hour",#N/A,FALSE,"Unmanaged";"UM Hours per Visit",#N/A,FALSE,"Unmanaged";"UM Dollars per Visit",#N/A,FALSE,"Unmanaged";"UM Total Visits",#N/A,FALSE,"Unmanaged";"UM PMPM",#N/A,FALSE,"Unmanaged"}</definedName>
    <definedName name="wrn.Adjusted._.Unmanaged." localSheetId="18" hidden="1">{"UM Visits",#N/A,FALSE,"Unmanaged";"UM Dollars per Hour",#N/A,FALSE,"Unmanaged";"UM Hours per Visit",#N/A,FALSE,"Unmanaged";"UM Dollars per Visit",#N/A,FALSE,"Unmanaged";"UM Total Visits",#N/A,FALSE,"Unmanaged";"UM PMPM",#N/A,FALSE,"Unmanaged"}</definedName>
    <definedName name="wrn.Adjusted._.Unmanaged." localSheetId="20" hidden="1">{"UM Visits",#N/A,FALSE,"Unmanaged";"UM Dollars per Hour",#N/A,FALSE,"Unmanaged";"UM Hours per Visit",#N/A,FALSE,"Unmanaged";"UM Dollars per Visit",#N/A,FALSE,"Unmanaged";"UM Total Visits",#N/A,FALSE,"Unmanaged";"UM PMPM",#N/A,FALSE,"Unmanaged"}</definedName>
    <definedName name="wrn.Adjusted._.Unmanaged." localSheetId="21" hidden="1">{"UM Visits",#N/A,FALSE,"Unmanaged";"UM Dollars per Hour",#N/A,FALSE,"Unmanaged";"UM Hours per Visit",#N/A,FALSE,"Unmanaged";"UM Dollars per Visit",#N/A,FALSE,"Unmanaged";"UM Total Visits",#N/A,FALSE,"Unmanaged";"UM PMPM",#N/A,FALSE,"Unmanaged"}</definedName>
    <definedName name="wrn.Adjusted._.Unmanaged." localSheetId="23" hidden="1">{"UM Visits",#N/A,FALSE,"Unmanaged";"UM Dollars per Hour",#N/A,FALSE,"Unmanaged";"UM Hours per Visit",#N/A,FALSE,"Unmanaged";"UM Dollars per Visit",#N/A,FALSE,"Unmanaged";"UM Total Visits",#N/A,FALSE,"Unmanaged";"UM PMPM",#N/A,FALSE,"Unmanaged"}</definedName>
    <definedName name="wrn.Adjusted._.Unmanaged." localSheetId="25" hidden="1">{"UM Visits",#N/A,FALSE,"Unmanaged";"UM Dollars per Hour",#N/A,FALSE,"Unmanaged";"UM Hours per Visit",#N/A,FALSE,"Unmanaged";"UM Dollars per Visit",#N/A,FALSE,"Unmanaged";"UM Total Visits",#N/A,FALSE,"Unmanaged";"UM PMPM",#N/A,FALSE,"Unmanaged"}</definedName>
    <definedName name="wrn.Adjusted._.Unmanaged." localSheetId="27" hidden="1">{"UM Visits",#N/A,FALSE,"Unmanaged";"UM Dollars per Hour",#N/A,FALSE,"Unmanaged";"UM Hours per Visit",#N/A,FALSE,"Unmanaged";"UM Dollars per Visit",#N/A,FALSE,"Unmanaged";"UM Total Visits",#N/A,FALSE,"Unmanaged";"UM PMPM",#N/A,FALSE,"Unmanaged"}</definedName>
    <definedName name="wrn.Adjusted._.Unmanaged." localSheetId="29" hidden="1">{"UM Visits",#N/A,FALSE,"Unmanaged";"UM Dollars per Hour",#N/A,FALSE,"Unmanaged";"UM Hours per Visit",#N/A,FALSE,"Unmanaged";"UM Dollars per Visit",#N/A,FALSE,"Unmanaged";"UM Total Visits",#N/A,FALSE,"Unmanaged";"UM PMPM",#N/A,FALSE,"Unmanaged"}</definedName>
    <definedName name="wrn.Adjusted._.Unmanaged." localSheetId="31" hidden="1">{"UM Visits",#N/A,FALSE,"Unmanaged";"UM Dollars per Hour",#N/A,FALSE,"Unmanaged";"UM Hours per Visit",#N/A,FALSE,"Unmanaged";"UM Dollars per Visit",#N/A,FALSE,"Unmanaged";"UM Total Visits",#N/A,FALSE,"Unmanaged";"UM PMPM",#N/A,FALSE,"Unmanaged"}</definedName>
    <definedName name="wrn.Adjusted._.Unmanaged." localSheetId="33" hidden="1">{"UM Visits",#N/A,FALSE,"Unmanaged";"UM Dollars per Hour",#N/A,FALSE,"Unmanaged";"UM Hours per Visit",#N/A,FALSE,"Unmanaged";"UM Dollars per Visit",#N/A,FALSE,"Unmanaged";"UM Total Visits",#N/A,FALSE,"Unmanaged";"UM PMPM",#N/A,FALSE,"Unmanaged"}</definedName>
    <definedName name="wrn.Adjusted._.Unmanaged." localSheetId="35" hidden="1">{"UM Visits",#N/A,FALSE,"Unmanaged";"UM Dollars per Hour",#N/A,FALSE,"Unmanaged";"UM Hours per Visit",#N/A,FALSE,"Unmanaged";"UM Dollars per Visit",#N/A,FALSE,"Unmanaged";"UM Total Visits",#N/A,FALSE,"Unmanaged";"UM PMPM",#N/A,FALSE,"Unmanaged"}</definedName>
    <definedName name="wrn.Adjusted._.Unmanaged." localSheetId="37" hidden="1">{"UM Visits",#N/A,FALSE,"Unmanaged";"UM Dollars per Hour",#N/A,FALSE,"Unmanaged";"UM Hours per Visit",#N/A,FALSE,"Unmanaged";"UM Dollars per Visit",#N/A,FALSE,"Unmanaged";"UM Total Visits",#N/A,FALSE,"Unmanaged";"UM PMPM",#N/A,FALSE,"Unmanaged"}</definedName>
    <definedName name="wrn.Adjusted._.Unmanaged." localSheetId="39" hidden="1">{"UM Visits",#N/A,FALSE,"Unmanaged";"UM Dollars per Hour",#N/A,FALSE,"Unmanaged";"UM Hours per Visit",#N/A,FALSE,"Unmanaged";"UM Dollars per Visit",#N/A,FALSE,"Unmanaged";"UM Total Visits",#N/A,FALSE,"Unmanaged";"UM PMPM",#N/A,FALSE,"Unmanaged"}</definedName>
    <definedName name="wrn.Adjusted._.Unmanaged." localSheetId="7" hidden="1">{"UM Visits",#N/A,FALSE,"Unmanaged";"UM Dollars per Hour",#N/A,FALSE,"Unmanaged";"UM Hours per Visit",#N/A,FALSE,"Unmanaged";"UM Dollars per Visit",#N/A,FALSE,"Unmanaged";"UM Total Visits",#N/A,FALSE,"Unmanaged";"UM PMPM",#N/A,FALSE,"Unmanaged"}</definedName>
    <definedName name="wrn.Adjusted._.Unmanaged." localSheetId="41" hidden="1">{"UM Visits",#N/A,FALSE,"Unmanaged";"UM Dollars per Hour",#N/A,FALSE,"Unmanaged";"UM Hours per Visit",#N/A,FALSE,"Unmanaged";"UM Dollars per Visit",#N/A,FALSE,"Unmanaged";"UM Total Visits",#N/A,FALSE,"Unmanaged";"UM PMPM",#N/A,FALSE,"Unmanaged"}</definedName>
    <definedName name="wrn.Adjusted._.Unmanaged." localSheetId="43" hidden="1">{"UM Visits",#N/A,FALSE,"Unmanaged";"UM Dollars per Hour",#N/A,FALSE,"Unmanaged";"UM Hours per Visit",#N/A,FALSE,"Unmanaged";"UM Dollars per Visit",#N/A,FALSE,"Unmanaged";"UM Total Visits",#N/A,FALSE,"Unmanaged";"UM PMPM",#N/A,FALSE,"Unmanaged"}</definedName>
    <definedName name="wrn.Adjusted._.Unmanaged." localSheetId="9" hidden="1">{"UM Visits",#N/A,FALSE,"Unmanaged";"UM Dollars per Hour",#N/A,FALSE,"Unmanaged";"UM Hours per Visit",#N/A,FALSE,"Unmanaged";"UM Dollars per Visit",#N/A,FALSE,"Unmanaged";"UM Total Visits",#N/A,FALSE,"Unmanaged";"UM PMPM",#N/A,FALSE,"Unmanaged"}</definedName>
    <definedName name="wrn.Adjusted._.Unmanaged." localSheetId="11" hidden="1">{"UM Visits",#N/A,FALSE,"Unmanaged";"UM Dollars per Hour",#N/A,FALSE,"Unmanaged";"UM Hours per Visit",#N/A,FALSE,"Unmanaged";"UM Dollars per Visit",#N/A,FALSE,"Unmanaged";"UM Total Visits",#N/A,FALSE,"Unmanaged";"UM PMPM",#N/A,FALSE,"Unmanaged"}</definedName>
    <definedName name="wrn.Adjusted._.Unmanaged." localSheetId="13" hidden="1">{"UM Visits",#N/A,FALSE,"Unmanaged";"UM Dollars per Hour",#N/A,FALSE,"Unmanaged";"UM Hours per Visit",#N/A,FALSE,"Unmanaged";"UM Dollars per Visit",#N/A,FALSE,"Unmanaged";"UM Total Visits",#N/A,FALSE,"Unmanaged";"UM PMPM",#N/A,FALSE,"Unmanaged"}</definedName>
    <definedName name="wrn.Adjusted._.Unmanaged." localSheetId="15" hidden="1">{"UM Visits",#N/A,FALSE,"Unmanaged";"UM Dollars per Hour",#N/A,FALSE,"Unmanaged";"UM Hours per Visit",#N/A,FALSE,"Unmanaged";"UM Dollars per Visit",#N/A,FALSE,"Unmanaged";"UM Total Visits",#N/A,FALSE,"Unmanaged";"UM PMPM",#N/A,FALSE,"Unmanaged"}</definedName>
    <definedName name="wrn.Adjusted._.Unmanaged." localSheetId="17" hidden="1">{"UM Visits",#N/A,FALSE,"Unmanaged";"UM Dollars per Hour",#N/A,FALSE,"Unmanaged";"UM Hours per Visit",#N/A,FALSE,"Unmanaged";"UM Dollars per Visit",#N/A,FALSE,"Unmanaged";"UM Total Visits",#N/A,FALSE,"Unmanaged";"UM PMPM",#N/A,FALSE,"Unmanaged"}</definedName>
    <definedName name="wrn.Adjusted._.Unmanaged." localSheetId="19" hidden="1">{"UM Visits",#N/A,FALSE,"Unmanaged";"UM Dollars per Hour",#N/A,FALSE,"Unmanaged";"UM Hours per Visit",#N/A,FALSE,"Unmanaged";"UM Dollars per Visit",#N/A,FALSE,"Unmanaged";"UM Total Visits",#N/A,FALSE,"Unmanaged";"UM PMPM",#N/A,FALSE,"Unmanaged"}</definedName>
    <definedName name="wrn.Adjusted._.Unmanaged." localSheetId="65" hidden="1">{"UM Visits",#N/A,FALSE,"Unmanaged";"UM Dollars per Hour",#N/A,FALSE,"Unmanaged";"UM Hours per Visit",#N/A,FALSE,"Unmanaged";"UM Dollars per Visit",#N/A,FALSE,"Unmanaged";"UM Total Visits",#N/A,FALSE,"Unmanaged";"UM PMPM",#N/A,FALSE,"Unmanaged"}</definedName>
    <definedName name="wrn.Adjusted._.Unmanaged." localSheetId="67" hidden="1">{"UM Visits",#N/A,FALSE,"Unmanaged";"UM Dollars per Hour",#N/A,FALSE,"Unmanaged";"UM Hours per Visit",#N/A,FALSE,"Unmanaged";"UM Dollars per Visit",#N/A,FALSE,"Unmanaged";"UM Total Visits",#N/A,FALSE,"Unmanaged";"UM PMPM",#N/A,FALSE,"Unmanaged"}</definedName>
    <definedName name="wrn.Adjusted._.Unmanaged." localSheetId="69" hidden="1">{"UM Visits",#N/A,FALSE,"Unmanaged";"UM Dollars per Hour",#N/A,FALSE,"Unmanaged";"UM Hours per Visit",#N/A,FALSE,"Unmanaged";"UM Dollars per Visit",#N/A,FALSE,"Unmanaged";"UM Total Visits",#N/A,FALSE,"Unmanaged";"UM PMPM",#N/A,FALSE,"Unmanaged"}</definedName>
    <definedName name="wrn.Adjusted._.Unmanaged." localSheetId="71" hidden="1">{"UM Visits",#N/A,FALSE,"Unmanaged";"UM Dollars per Hour",#N/A,FALSE,"Unmanaged";"UM Hours per Visit",#N/A,FALSE,"Unmanaged";"UM Dollars per Visit",#N/A,FALSE,"Unmanaged";"UM Total Visits",#N/A,FALSE,"Unmanaged";"UM PMPM",#N/A,FALSE,"Unmanaged"}</definedName>
    <definedName name="wrn.Adjusted._.Unmanaged." localSheetId="73" hidden="1">{"UM Visits",#N/A,FALSE,"Unmanaged";"UM Dollars per Hour",#N/A,FALSE,"Unmanaged";"UM Hours per Visit",#N/A,FALSE,"Unmanaged";"UM Dollars per Visit",#N/A,FALSE,"Unmanaged";"UM Total Visits",#N/A,FALSE,"Unmanaged";"UM PMPM",#N/A,FALSE,"Unmanaged"}</definedName>
    <definedName name="wrn.Adjusted._.Unmanaged." localSheetId="75" hidden="1">{"UM Visits",#N/A,FALSE,"Unmanaged";"UM Dollars per Hour",#N/A,FALSE,"Unmanaged";"UM Hours per Visit",#N/A,FALSE,"Unmanaged";"UM Dollars per Visit",#N/A,FALSE,"Unmanaged";"UM Total Visits",#N/A,FALSE,"Unmanaged";"UM PMPM",#N/A,FALSE,"Unmanaged"}</definedName>
    <definedName name="wrn.Adjusted._.Unmanaged." localSheetId="77" hidden="1">{"UM Visits",#N/A,FALSE,"Unmanaged";"UM Dollars per Hour",#N/A,FALSE,"Unmanaged";"UM Hours per Visit",#N/A,FALSE,"Unmanaged";"UM Dollars per Visit",#N/A,FALSE,"Unmanaged";"UM Total Visits",#N/A,FALSE,"Unmanaged";"UM PMPM",#N/A,FALSE,"Unmanaged"}</definedName>
    <definedName name="wrn.Adjusted._.Unmanaged." localSheetId="79" hidden="1">{"UM Visits",#N/A,FALSE,"Unmanaged";"UM Dollars per Hour",#N/A,FALSE,"Unmanaged";"UM Hours per Visit",#N/A,FALSE,"Unmanaged";"UM Dollars per Visit",#N/A,FALSE,"Unmanaged";"UM Total Visits",#N/A,FALSE,"Unmanaged";"UM PMPM",#N/A,FALSE,"Unmanaged"}</definedName>
    <definedName name="wrn.Adjusted._.Unmanaged." localSheetId="81" hidden="1">{"UM Visits",#N/A,FALSE,"Unmanaged";"UM Dollars per Hour",#N/A,FALSE,"Unmanaged";"UM Hours per Visit",#N/A,FALSE,"Unmanaged";"UM Dollars per Visit",#N/A,FALSE,"Unmanaged";"UM Total Visits",#N/A,FALSE,"Unmanaged";"UM PMPM",#N/A,FALSE,"Unmanaged"}</definedName>
    <definedName name="wrn.Adjusted._.Unmanaged." localSheetId="49" hidden="1">{"UM Visits",#N/A,FALSE,"Unmanaged";"UM Dollars per Hour",#N/A,FALSE,"Unmanaged";"UM Hours per Visit",#N/A,FALSE,"Unmanaged";"UM Dollars per Visit",#N/A,FALSE,"Unmanaged";"UM Total Visits",#N/A,FALSE,"Unmanaged";"UM PMPM",#N/A,FALSE,"Unmanaged"}</definedName>
    <definedName name="wrn.Adjusted._.Unmanaged." localSheetId="51" hidden="1">{"UM Visits",#N/A,FALSE,"Unmanaged";"UM Dollars per Hour",#N/A,FALSE,"Unmanaged";"UM Hours per Visit",#N/A,FALSE,"Unmanaged";"UM Dollars per Visit",#N/A,FALSE,"Unmanaged";"UM Total Visits",#N/A,FALSE,"Unmanaged";"UM PMPM",#N/A,FALSE,"Unmanaged"}</definedName>
    <definedName name="wrn.Adjusted._.Unmanaged." localSheetId="53" hidden="1">{"UM Visits",#N/A,FALSE,"Unmanaged";"UM Dollars per Hour",#N/A,FALSE,"Unmanaged";"UM Hours per Visit",#N/A,FALSE,"Unmanaged";"UM Dollars per Visit",#N/A,FALSE,"Unmanaged";"UM Total Visits",#N/A,FALSE,"Unmanaged";"UM PMPM",#N/A,FALSE,"Unmanaged"}</definedName>
    <definedName name="wrn.Adjusted._.Unmanaged." localSheetId="55" hidden="1">{"UM Visits",#N/A,FALSE,"Unmanaged";"UM Dollars per Hour",#N/A,FALSE,"Unmanaged";"UM Hours per Visit",#N/A,FALSE,"Unmanaged";"UM Dollars per Visit",#N/A,FALSE,"Unmanaged";"UM Total Visits",#N/A,FALSE,"Unmanaged";"UM PMPM",#N/A,FALSE,"Unmanaged"}</definedName>
    <definedName name="wrn.Adjusted._.Unmanaged." localSheetId="57" hidden="1">{"UM Visits",#N/A,FALSE,"Unmanaged";"UM Dollars per Hour",#N/A,FALSE,"Unmanaged";"UM Hours per Visit",#N/A,FALSE,"Unmanaged";"UM Dollars per Visit",#N/A,FALSE,"Unmanaged";"UM Total Visits",#N/A,FALSE,"Unmanaged";"UM PMPM",#N/A,FALSE,"Unmanaged"}</definedName>
    <definedName name="wrn.Adjusted._.Unmanaged." localSheetId="59" hidden="1">{"UM Visits",#N/A,FALSE,"Unmanaged";"UM Dollars per Hour",#N/A,FALSE,"Unmanaged";"UM Hours per Visit",#N/A,FALSE,"Unmanaged";"UM Dollars per Visit",#N/A,FALSE,"Unmanaged";"UM Total Visits",#N/A,FALSE,"Unmanaged";"UM PMPM",#N/A,FALSE,"Unmanaged"}</definedName>
    <definedName name="wrn.Adjusted._.Unmanaged." localSheetId="61" hidden="1">{"UM Visits",#N/A,FALSE,"Unmanaged";"UM Dollars per Hour",#N/A,FALSE,"Unmanaged";"UM Hours per Visit",#N/A,FALSE,"Unmanaged";"UM Dollars per Visit",#N/A,FALSE,"Unmanaged";"UM Total Visits",#N/A,FALSE,"Unmanaged";"UM PMPM",#N/A,FALSE,"Unmanaged"}</definedName>
    <definedName name="wrn.Adjusted._.Unmanaged." localSheetId="63" hidden="1">{"UM Visits",#N/A,FALSE,"Unmanaged";"UM Dollars per Hour",#N/A,FALSE,"Unmanaged";"UM Hours per Visit",#N/A,FALSE,"Unmanaged";"UM Dollars per Visit",#N/A,FALSE,"Unmanaged";"UM Total Visits",#N/A,FALSE,"Unmanaged";"UM PMPM",#N/A,FALSE,"Unmanaged"}</definedName>
    <definedName name="wrn.Adjusted._.Unmanaged." localSheetId="64" hidden="1">{"UM Visits",#N/A,FALSE,"Unmanaged";"UM Dollars per Hour",#N/A,FALSE,"Unmanaged";"UM Hours per Visit",#N/A,FALSE,"Unmanaged";"UM Dollars per Visit",#N/A,FALSE,"Unmanaged";"UM Total Visits",#N/A,FALSE,"Unmanaged";"UM PMPM",#N/A,FALSE,"Unmanaged"}</definedName>
    <definedName name="wrn.Adjusted._.Unmanaged." localSheetId="66" hidden="1">{"UM Visits",#N/A,FALSE,"Unmanaged";"UM Dollars per Hour",#N/A,FALSE,"Unmanaged";"UM Hours per Visit",#N/A,FALSE,"Unmanaged";"UM Dollars per Visit",#N/A,FALSE,"Unmanaged";"UM Total Visits",#N/A,FALSE,"Unmanaged";"UM PMPM",#N/A,FALSE,"Unmanaged"}</definedName>
    <definedName name="wrn.Adjusted._.Unmanaged." localSheetId="68" hidden="1">{"UM Visits",#N/A,FALSE,"Unmanaged";"UM Dollars per Hour",#N/A,FALSE,"Unmanaged";"UM Hours per Visit",#N/A,FALSE,"Unmanaged";"UM Dollars per Visit",#N/A,FALSE,"Unmanaged";"UM Total Visits",#N/A,FALSE,"Unmanaged";"UM PMPM",#N/A,FALSE,"Unmanaged"}</definedName>
    <definedName name="wrn.Adjusted._.Unmanaged." localSheetId="70" hidden="1">{"UM Visits",#N/A,FALSE,"Unmanaged";"UM Dollars per Hour",#N/A,FALSE,"Unmanaged";"UM Hours per Visit",#N/A,FALSE,"Unmanaged";"UM Dollars per Visit",#N/A,FALSE,"Unmanaged";"UM Total Visits",#N/A,FALSE,"Unmanaged";"UM PMPM",#N/A,FALSE,"Unmanaged"}</definedName>
    <definedName name="wrn.Adjusted._.Unmanaged." localSheetId="72" hidden="1">{"UM Visits",#N/A,FALSE,"Unmanaged";"UM Dollars per Hour",#N/A,FALSE,"Unmanaged";"UM Hours per Visit",#N/A,FALSE,"Unmanaged";"UM Dollars per Visit",#N/A,FALSE,"Unmanaged";"UM Total Visits",#N/A,FALSE,"Unmanaged";"UM PMPM",#N/A,FALSE,"Unmanaged"}</definedName>
    <definedName name="wrn.Adjusted._.Unmanaged." localSheetId="74" hidden="1">{"UM Visits",#N/A,FALSE,"Unmanaged";"UM Dollars per Hour",#N/A,FALSE,"Unmanaged";"UM Hours per Visit",#N/A,FALSE,"Unmanaged";"UM Dollars per Visit",#N/A,FALSE,"Unmanaged";"UM Total Visits",#N/A,FALSE,"Unmanaged";"UM PMPM",#N/A,FALSE,"Unmanaged"}</definedName>
    <definedName name="wrn.Adjusted._.Unmanaged." localSheetId="76" hidden="1">{"UM Visits",#N/A,FALSE,"Unmanaged";"UM Dollars per Hour",#N/A,FALSE,"Unmanaged";"UM Hours per Visit",#N/A,FALSE,"Unmanaged";"UM Dollars per Visit",#N/A,FALSE,"Unmanaged";"UM Total Visits",#N/A,FALSE,"Unmanaged";"UM PMPM",#N/A,FALSE,"Unmanaged"}</definedName>
    <definedName name="wrn.Adjusted._.Unmanaged." localSheetId="78" hidden="1">{"UM Visits",#N/A,FALSE,"Unmanaged";"UM Dollars per Hour",#N/A,FALSE,"Unmanaged";"UM Hours per Visit",#N/A,FALSE,"Unmanaged";"UM Dollars per Visit",#N/A,FALSE,"Unmanaged";"UM Total Visits",#N/A,FALSE,"Unmanaged";"UM PMPM",#N/A,FALSE,"Unmanaged"}</definedName>
    <definedName name="wrn.Adjusted._.Unmanaged." localSheetId="80" hidden="1">{"UM Visits",#N/A,FALSE,"Unmanaged";"UM Dollars per Hour",#N/A,FALSE,"Unmanaged";"UM Hours per Visit",#N/A,FALSE,"Unmanaged";"UM Dollars per Visit",#N/A,FALSE,"Unmanaged";"UM Total Visits",#N/A,FALSE,"Unmanaged";"UM PMPM",#N/A,FALSE,"Unmanaged"}</definedName>
    <definedName name="wrn.Adjusted._.Unmanaged." localSheetId="48" hidden="1">{"UM Visits",#N/A,FALSE,"Unmanaged";"UM Dollars per Hour",#N/A,FALSE,"Unmanaged";"UM Hours per Visit",#N/A,FALSE,"Unmanaged";"UM Dollars per Visit",#N/A,FALSE,"Unmanaged";"UM Total Visits",#N/A,FALSE,"Unmanaged";"UM PMPM",#N/A,FALSE,"Unmanaged"}</definedName>
    <definedName name="wrn.Adjusted._.Unmanaged." localSheetId="50" hidden="1">{"UM Visits",#N/A,FALSE,"Unmanaged";"UM Dollars per Hour",#N/A,FALSE,"Unmanaged";"UM Hours per Visit",#N/A,FALSE,"Unmanaged";"UM Dollars per Visit",#N/A,FALSE,"Unmanaged";"UM Total Visits",#N/A,FALSE,"Unmanaged";"UM PMPM",#N/A,FALSE,"Unmanaged"}</definedName>
    <definedName name="wrn.Adjusted._.Unmanaged." localSheetId="52" hidden="1">{"UM Visits",#N/A,FALSE,"Unmanaged";"UM Dollars per Hour",#N/A,FALSE,"Unmanaged";"UM Hours per Visit",#N/A,FALSE,"Unmanaged";"UM Dollars per Visit",#N/A,FALSE,"Unmanaged";"UM Total Visits",#N/A,FALSE,"Unmanaged";"UM PMPM",#N/A,FALSE,"Unmanaged"}</definedName>
    <definedName name="wrn.Adjusted._.Unmanaged." localSheetId="54" hidden="1">{"UM Visits",#N/A,FALSE,"Unmanaged";"UM Dollars per Hour",#N/A,FALSE,"Unmanaged";"UM Hours per Visit",#N/A,FALSE,"Unmanaged";"UM Dollars per Visit",#N/A,FALSE,"Unmanaged";"UM Total Visits",#N/A,FALSE,"Unmanaged";"UM PMPM",#N/A,FALSE,"Unmanaged"}</definedName>
    <definedName name="wrn.Adjusted._.Unmanaged." localSheetId="56" hidden="1">{"UM Visits",#N/A,FALSE,"Unmanaged";"UM Dollars per Hour",#N/A,FALSE,"Unmanaged";"UM Hours per Visit",#N/A,FALSE,"Unmanaged";"UM Dollars per Visit",#N/A,FALSE,"Unmanaged";"UM Total Visits",#N/A,FALSE,"Unmanaged";"UM PMPM",#N/A,FALSE,"Unmanaged"}</definedName>
    <definedName name="wrn.Adjusted._.Unmanaged." localSheetId="58" hidden="1">{"UM Visits",#N/A,FALSE,"Unmanaged";"UM Dollars per Hour",#N/A,FALSE,"Unmanaged";"UM Hours per Visit",#N/A,FALSE,"Unmanaged";"UM Dollars per Visit",#N/A,FALSE,"Unmanaged";"UM Total Visits",#N/A,FALSE,"Unmanaged";"UM PMPM",#N/A,FALSE,"Unmanaged"}</definedName>
    <definedName name="wrn.Adjusted._.Unmanaged." localSheetId="60" hidden="1">{"UM Visits",#N/A,FALSE,"Unmanaged";"UM Dollars per Hour",#N/A,FALSE,"Unmanaged";"UM Hours per Visit",#N/A,FALSE,"Unmanaged";"UM Dollars per Visit",#N/A,FALSE,"Unmanaged";"UM Total Visits",#N/A,FALSE,"Unmanaged";"UM PMPM",#N/A,FALSE,"Unmanaged"}</definedName>
    <definedName name="wrn.Adjusted._.Unmanaged." localSheetId="62" hidden="1">{"UM Visits",#N/A,FALSE,"Unmanaged";"UM Dollars per Hour",#N/A,FALSE,"Unmanaged";"UM Hours per Visit",#N/A,FALSE,"Unmanaged";"UM Dollars per Visit",#N/A,FALSE,"Unmanaged";"UM Total Visits",#N/A,FALSE,"Unmanaged";"UM PMPM",#N/A,FALSE,"Unmanaged"}</definedName>
    <definedName name="wrn.Adjusted._.Unmanaged." localSheetId="92" hidden="1">{"UM Visits",#N/A,FALSE,"Unmanaged";"UM Dollars per Hour",#N/A,FALSE,"Unmanaged";"UM Hours per Visit",#N/A,FALSE,"Unmanaged";"UM Dollars per Visit",#N/A,FALSE,"Unmanaged";"UM Total Visits",#N/A,FALSE,"Unmanaged";"UM PMPM",#N/A,FALSE,"Unmanaged"}</definedName>
    <definedName name="wrn.Adjusted._.Unmanaged." localSheetId="86" hidden="1">{"UM Visits",#N/A,FALSE,"Unmanaged";"UM Dollars per Hour",#N/A,FALSE,"Unmanaged";"UM Hours per Visit",#N/A,FALSE,"Unmanaged";"UM Dollars per Visit",#N/A,FALSE,"Unmanaged";"UM Total Visits",#N/A,FALSE,"Unmanaged";"UM PMPM",#N/A,FALSE,"Unmanaged"}</definedName>
    <definedName name="wrn.Adjusted._.Unmanaged." localSheetId="88" hidden="1">{"UM Visits",#N/A,FALSE,"Unmanaged";"UM Dollars per Hour",#N/A,FALSE,"Unmanaged";"UM Hours per Visit",#N/A,FALSE,"Unmanaged";"UM Dollars per Visit",#N/A,FALSE,"Unmanaged";"UM Total Visits",#N/A,FALSE,"Unmanaged";"UM PMPM",#N/A,FALSE,"Unmanaged"}</definedName>
    <definedName name="wrn.Adjusted._.Unmanaged." localSheetId="90" hidden="1">{"UM Visits",#N/A,FALSE,"Unmanaged";"UM Dollars per Hour",#N/A,FALSE,"Unmanaged";"UM Hours per Visit",#N/A,FALSE,"Unmanaged";"UM Dollars per Visit",#N/A,FALSE,"Unmanaged";"UM Total Visits",#N/A,FALSE,"Unmanaged";"UM PMPM",#N/A,FALSE,"Unmanaged"}</definedName>
    <definedName name="wrn.Adjusted._.Unmanaged." localSheetId="91" hidden="1">{"UM Visits",#N/A,FALSE,"Unmanaged";"UM Dollars per Hour",#N/A,FALSE,"Unmanaged";"UM Hours per Visit",#N/A,FALSE,"Unmanaged";"UM Dollars per Visit",#N/A,FALSE,"Unmanaged";"UM Total Visits",#N/A,FALSE,"Unmanaged";"UM PMPM",#N/A,FALSE,"Unmanaged"}</definedName>
    <definedName name="wrn.Adjusted._.Unmanaged." localSheetId="85" hidden="1">{"UM Visits",#N/A,FALSE,"Unmanaged";"UM Dollars per Hour",#N/A,FALSE,"Unmanaged";"UM Hours per Visit",#N/A,FALSE,"Unmanaged";"UM Dollars per Visit",#N/A,FALSE,"Unmanaged";"UM Total Visits",#N/A,FALSE,"Unmanaged";"UM PMPM",#N/A,FALSE,"Unmanaged"}</definedName>
    <definedName name="wrn.Adjusted._.Unmanaged." localSheetId="87" hidden="1">{"UM Visits",#N/A,FALSE,"Unmanaged";"UM Dollars per Hour",#N/A,FALSE,"Unmanaged";"UM Hours per Visit",#N/A,FALSE,"Unmanaged";"UM Dollars per Visit",#N/A,FALSE,"Unmanaged";"UM Total Visits",#N/A,FALSE,"Unmanaged";"UM PMPM",#N/A,FALSE,"Unmanaged"}</definedName>
    <definedName name="wrn.Adjusted._.Unmanaged." localSheetId="89" hidden="1">{"UM Visits",#N/A,FALSE,"Unmanaged";"UM Dollars per Hour",#N/A,FALSE,"Unmanaged";"UM Hours per Visit",#N/A,FALSE,"Unmanaged";"UM Dollars per Visit",#N/A,FALSE,"Unmanaged";"UM Total Visits",#N/A,FALSE,"Unmanaged";"UM PMPM",#N/A,FALSE,"Unmanaged"}</definedName>
    <definedName name="wrn.Adjusted._.Unmanaged." hidden="1">{"UM Visits",#N/A,FALSE,"Unmanaged";"UM Dollars per Hour",#N/A,FALSE,"Unmanaged";"UM Hours per Visit",#N/A,FALSE,"Unmanaged";"UM Dollars per Visit",#N/A,FALSE,"Unmanaged";"UM Total Visits",#N/A,FALSE,"Unmanaged";"UM PMPM",#N/A,FALSE,"Unmanaged"}</definedName>
    <definedName name="wrn.Detail." localSheetId="22" hidden="1">{"umarea",#N/A,FALSE,"Starting Cost";"umagesex",#N/A,FALSE,"Starting Cost";"umbenlim",#N/A,FALSE,"Starting Cost";"umprovdisc",#N/A,FALSE,"Starting Cost";"umother",#N/A,FALSE,"Starting Cost";"umtrend",#N/A,FALSE,"Starting Cost"}</definedName>
    <definedName name="wrn.Detail." localSheetId="24" hidden="1">{"umarea",#N/A,FALSE,"Starting Cost";"umagesex",#N/A,FALSE,"Starting Cost";"umbenlim",#N/A,FALSE,"Starting Cost";"umprovdisc",#N/A,FALSE,"Starting Cost";"umother",#N/A,FALSE,"Starting Cost";"umtrend",#N/A,FALSE,"Starting Cost"}</definedName>
    <definedName name="wrn.Detail." localSheetId="26" hidden="1">{"umarea",#N/A,FALSE,"Starting Cost";"umagesex",#N/A,FALSE,"Starting Cost";"umbenlim",#N/A,FALSE,"Starting Cost";"umprovdisc",#N/A,FALSE,"Starting Cost";"umother",#N/A,FALSE,"Starting Cost";"umtrend",#N/A,FALSE,"Starting Cost"}</definedName>
    <definedName name="wrn.Detail." localSheetId="28" hidden="1">{"umarea",#N/A,FALSE,"Starting Cost";"umagesex",#N/A,FALSE,"Starting Cost";"umbenlim",#N/A,FALSE,"Starting Cost";"umprovdisc",#N/A,FALSE,"Starting Cost";"umother",#N/A,FALSE,"Starting Cost";"umtrend",#N/A,FALSE,"Starting Cost"}</definedName>
    <definedName name="wrn.Detail." localSheetId="30" hidden="1">{"umarea",#N/A,FALSE,"Starting Cost";"umagesex",#N/A,FALSE,"Starting Cost";"umbenlim",#N/A,FALSE,"Starting Cost";"umprovdisc",#N/A,FALSE,"Starting Cost";"umother",#N/A,FALSE,"Starting Cost";"umtrend",#N/A,FALSE,"Starting Cost"}</definedName>
    <definedName name="wrn.Detail." localSheetId="32" hidden="1">{"umarea",#N/A,FALSE,"Starting Cost";"umagesex",#N/A,FALSE,"Starting Cost";"umbenlim",#N/A,FALSE,"Starting Cost";"umprovdisc",#N/A,FALSE,"Starting Cost";"umother",#N/A,FALSE,"Starting Cost";"umtrend",#N/A,FALSE,"Starting Cost"}</definedName>
    <definedName name="wrn.Detail." localSheetId="34" hidden="1">{"umarea",#N/A,FALSE,"Starting Cost";"umagesex",#N/A,FALSE,"Starting Cost";"umbenlim",#N/A,FALSE,"Starting Cost";"umprovdisc",#N/A,FALSE,"Starting Cost";"umother",#N/A,FALSE,"Starting Cost";"umtrend",#N/A,FALSE,"Starting Cost"}</definedName>
    <definedName name="wrn.Detail." localSheetId="36" hidden="1">{"umarea",#N/A,FALSE,"Starting Cost";"umagesex",#N/A,FALSE,"Starting Cost";"umbenlim",#N/A,FALSE,"Starting Cost";"umprovdisc",#N/A,FALSE,"Starting Cost";"umother",#N/A,FALSE,"Starting Cost";"umtrend",#N/A,FALSE,"Starting Cost"}</definedName>
    <definedName name="wrn.Detail." localSheetId="38" hidden="1">{"umarea",#N/A,FALSE,"Starting Cost";"umagesex",#N/A,FALSE,"Starting Cost";"umbenlim",#N/A,FALSE,"Starting Cost";"umprovdisc",#N/A,FALSE,"Starting Cost";"umother",#N/A,FALSE,"Starting Cost";"umtrend",#N/A,FALSE,"Starting Cost"}</definedName>
    <definedName name="wrn.Detail." localSheetId="40" hidden="1">{"umarea",#N/A,FALSE,"Starting Cost";"umagesex",#N/A,FALSE,"Starting Cost";"umbenlim",#N/A,FALSE,"Starting Cost";"umprovdisc",#N/A,FALSE,"Starting Cost";"umother",#N/A,FALSE,"Starting Cost";"umtrend",#N/A,FALSE,"Starting Cost"}</definedName>
    <definedName name="wrn.Detail." localSheetId="8" hidden="1">{"umarea",#N/A,FALSE,"Starting Cost";"umagesex",#N/A,FALSE,"Starting Cost";"umbenlim",#N/A,FALSE,"Starting Cost";"umprovdisc",#N/A,FALSE,"Starting Cost";"umother",#N/A,FALSE,"Starting Cost";"umtrend",#N/A,FALSE,"Starting Cost"}</definedName>
    <definedName name="wrn.Detail." localSheetId="42" hidden="1">{"umarea",#N/A,FALSE,"Starting Cost";"umagesex",#N/A,FALSE,"Starting Cost";"umbenlim",#N/A,FALSE,"Starting Cost";"umprovdisc",#N/A,FALSE,"Starting Cost";"umother",#N/A,FALSE,"Starting Cost";"umtrend",#N/A,FALSE,"Starting Cost"}</definedName>
    <definedName name="wrn.Detail." localSheetId="44" hidden="1">{"umarea",#N/A,FALSE,"Starting Cost";"umagesex",#N/A,FALSE,"Starting Cost";"umbenlim",#N/A,FALSE,"Starting Cost";"umprovdisc",#N/A,FALSE,"Starting Cost";"umother",#N/A,FALSE,"Starting Cost";"umtrend",#N/A,FALSE,"Starting Cost"}</definedName>
    <definedName name="wrn.Detail." localSheetId="10" hidden="1">{"umarea",#N/A,FALSE,"Starting Cost";"umagesex",#N/A,FALSE,"Starting Cost";"umbenlim",#N/A,FALSE,"Starting Cost";"umprovdisc",#N/A,FALSE,"Starting Cost";"umother",#N/A,FALSE,"Starting Cost";"umtrend",#N/A,FALSE,"Starting Cost"}</definedName>
    <definedName name="wrn.Detail." localSheetId="12" hidden="1">{"umarea",#N/A,FALSE,"Starting Cost";"umagesex",#N/A,FALSE,"Starting Cost";"umbenlim",#N/A,FALSE,"Starting Cost";"umprovdisc",#N/A,FALSE,"Starting Cost";"umother",#N/A,FALSE,"Starting Cost";"umtrend",#N/A,FALSE,"Starting Cost"}</definedName>
    <definedName name="wrn.Detail." localSheetId="14" hidden="1">{"umarea",#N/A,FALSE,"Starting Cost";"umagesex",#N/A,FALSE,"Starting Cost";"umbenlim",#N/A,FALSE,"Starting Cost";"umprovdisc",#N/A,FALSE,"Starting Cost";"umother",#N/A,FALSE,"Starting Cost";"umtrend",#N/A,FALSE,"Starting Cost"}</definedName>
    <definedName name="wrn.Detail." localSheetId="16" hidden="1">{"umarea",#N/A,FALSE,"Starting Cost";"umagesex",#N/A,FALSE,"Starting Cost";"umbenlim",#N/A,FALSE,"Starting Cost";"umprovdisc",#N/A,FALSE,"Starting Cost";"umother",#N/A,FALSE,"Starting Cost";"umtrend",#N/A,FALSE,"Starting Cost"}</definedName>
    <definedName name="wrn.Detail." localSheetId="18" hidden="1">{"umarea",#N/A,FALSE,"Starting Cost";"umagesex",#N/A,FALSE,"Starting Cost";"umbenlim",#N/A,FALSE,"Starting Cost";"umprovdisc",#N/A,FALSE,"Starting Cost";"umother",#N/A,FALSE,"Starting Cost";"umtrend",#N/A,FALSE,"Starting Cost"}</definedName>
    <definedName name="wrn.Detail." localSheetId="20" hidden="1">{"umarea",#N/A,FALSE,"Starting Cost";"umagesex",#N/A,FALSE,"Starting Cost";"umbenlim",#N/A,FALSE,"Starting Cost";"umprovdisc",#N/A,FALSE,"Starting Cost";"umother",#N/A,FALSE,"Starting Cost";"umtrend",#N/A,FALSE,"Starting Cost"}</definedName>
    <definedName name="wrn.Detail." localSheetId="21" hidden="1">{"umarea",#N/A,FALSE,"Starting Cost";"umagesex",#N/A,FALSE,"Starting Cost";"umbenlim",#N/A,FALSE,"Starting Cost";"umprovdisc",#N/A,FALSE,"Starting Cost";"umother",#N/A,FALSE,"Starting Cost";"umtrend",#N/A,FALSE,"Starting Cost"}</definedName>
    <definedName name="wrn.Detail." localSheetId="23" hidden="1">{"umarea",#N/A,FALSE,"Starting Cost";"umagesex",#N/A,FALSE,"Starting Cost";"umbenlim",#N/A,FALSE,"Starting Cost";"umprovdisc",#N/A,FALSE,"Starting Cost";"umother",#N/A,FALSE,"Starting Cost";"umtrend",#N/A,FALSE,"Starting Cost"}</definedName>
    <definedName name="wrn.Detail." localSheetId="25" hidden="1">{"umarea",#N/A,FALSE,"Starting Cost";"umagesex",#N/A,FALSE,"Starting Cost";"umbenlim",#N/A,FALSE,"Starting Cost";"umprovdisc",#N/A,FALSE,"Starting Cost";"umother",#N/A,FALSE,"Starting Cost";"umtrend",#N/A,FALSE,"Starting Cost"}</definedName>
    <definedName name="wrn.Detail." localSheetId="27" hidden="1">{"umarea",#N/A,FALSE,"Starting Cost";"umagesex",#N/A,FALSE,"Starting Cost";"umbenlim",#N/A,FALSE,"Starting Cost";"umprovdisc",#N/A,FALSE,"Starting Cost";"umother",#N/A,FALSE,"Starting Cost";"umtrend",#N/A,FALSE,"Starting Cost"}</definedName>
    <definedName name="wrn.Detail." localSheetId="29" hidden="1">{"umarea",#N/A,FALSE,"Starting Cost";"umagesex",#N/A,FALSE,"Starting Cost";"umbenlim",#N/A,FALSE,"Starting Cost";"umprovdisc",#N/A,FALSE,"Starting Cost";"umother",#N/A,FALSE,"Starting Cost";"umtrend",#N/A,FALSE,"Starting Cost"}</definedName>
    <definedName name="wrn.Detail." localSheetId="31" hidden="1">{"umarea",#N/A,FALSE,"Starting Cost";"umagesex",#N/A,FALSE,"Starting Cost";"umbenlim",#N/A,FALSE,"Starting Cost";"umprovdisc",#N/A,FALSE,"Starting Cost";"umother",#N/A,FALSE,"Starting Cost";"umtrend",#N/A,FALSE,"Starting Cost"}</definedName>
    <definedName name="wrn.Detail." localSheetId="33" hidden="1">{"umarea",#N/A,FALSE,"Starting Cost";"umagesex",#N/A,FALSE,"Starting Cost";"umbenlim",#N/A,FALSE,"Starting Cost";"umprovdisc",#N/A,FALSE,"Starting Cost";"umother",#N/A,FALSE,"Starting Cost";"umtrend",#N/A,FALSE,"Starting Cost"}</definedName>
    <definedName name="wrn.Detail." localSheetId="35" hidden="1">{"umarea",#N/A,FALSE,"Starting Cost";"umagesex",#N/A,FALSE,"Starting Cost";"umbenlim",#N/A,FALSE,"Starting Cost";"umprovdisc",#N/A,FALSE,"Starting Cost";"umother",#N/A,FALSE,"Starting Cost";"umtrend",#N/A,FALSE,"Starting Cost"}</definedName>
    <definedName name="wrn.Detail." localSheetId="37" hidden="1">{"umarea",#N/A,FALSE,"Starting Cost";"umagesex",#N/A,FALSE,"Starting Cost";"umbenlim",#N/A,FALSE,"Starting Cost";"umprovdisc",#N/A,FALSE,"Starting Cost";"umother",#N/A,FALSE,"Starting Cost";"umtrend",#N/A,FALSE,"Starting Cost"}</definedName>
    <definedName name="wrn.Detail." localSheetId="39" hidden="1">{"umarea",#N/A,FALSE,"Starting Cost";"umagesex",#N/A,FALSE,"Starting Cost";"umbenlim",#N/A,FALSE,"Starting Cost";"umprovdisc",#N/A,FALSE,"Starting Cost";"umother",#N/A,FALSE,"Starting Cost";"umtrend",#N/A,FALSE,"Starting Cost"}</definedName>
    <definedName name="wrn.Detail." localSheetId="7" hidden="1">{"umarea",#N/A,FALSE,"Starting Cost";"umagesex",#N/A,FALSE,"Starting Cost";"umbenlim",#N/A,FALSE,"Starting Cost";"umprovdisc",#N/A,FALSE,"Starting Cost";"umother",#N/A,FALSE,"Starting Cost";"umtrend",#N/A,FALSE,"Starting Cost"}</definedName>
    <definedName name="wrn.Detail." localSheetId="41" hidden="1">{"umarea",#N/A,FALSE,"Starting Cost";"umagesex",#N/A,FALSE,"Starting Cost";"umbenlim",#N/A,FALSE,"Starting Cost";"umprovdisc",#N/A,FALSE,"Starting Cost";"umother",#N/A,FALSE,"Starting Cost";"umtrend",#N/A,FALSE,"Starting Cost"}</definedName>
    <definedName name="wrn.Detail." localSheetId="43" hidden="1">{"umarea",#N/A,FALSE,"Starting Cost";"umagesex",#N/A,FALSE,"Starting Cost";"umbenlim",#N/A,FALSE,"Starting Cost";"umprovdisc",#N/A,FALSE,"Starting Cost";"umother",#N/A,FALSE,"Starting Cost";"umtrend",#N/A,FALSE,"Starting Cost"}</definedName>
    <definedName name="wrn.Detail." localSheetId="9" hidden="1">{"umarea",#N/A,FALSE,"Starting Cost";"umagesex",#N/A,FALSE,"Starting Cost";"umbenlim",#N/A,FALSE,"Starting Cost";"umprovdisc",#N/A,FALSE,"Starting Cost";"umother",#N/A,FALSE,"Starting Cost";"umtrend",#N/A,FALSE,"Starting Cost"}</definedName>
    <definedName name="wrn.Detail." localSheetId="11" hidden="1">{"umarea",#N/A,FALSE,"Starting Cost";"umagesex",#N/A,FALSE,"Starting Cost";"umbenlim",#N/A,FALSE,"Starting Cost";"umprovdisc",#N/A,FALSE,"Starting Cost";"umother",#N/A,FALSE,"Starting Cost";"umtrend",#N/A,FALSE,"Starting Cost"}</definedName>
    <definedName name="wrn.Detail." localSheetId="13" hidden="1">{"umarea",#N/A,FALSE,"Starting Cost";"umagesex",#N/A,FALSE,"Starting Cost";"umbenlim",#N/A,FALSE,"Starting Cost";"umprovdisc",#N/A,FALSE,"Starting Cost";"umother",#N/A,FALSE,"Starting Cost";"umtrend",#N/A,FALSE,"Starting Cost"}</definedName>
    <definedName name="wrn.Detail." localSheetId="15" hidden="1">{"umarea",#N/A,FALSE,"Starting Cost";"umagesex",#N/A,FALSE,"Starting Cost";"umbenlim",#N/A,FALSE,"Starting Cost";"umprovdisc",#N/A,FALSE,"Starting Cost";"umother",#N/A,FALSE,"Starting Cost";"umtrend",#N/A,FALSE,"Starting Cost"}</definedName>
    <definedName name="wrn.Detail." localSheetId="17" hidden="1">{"umarea",#N/A,FALSE,"Starting Cost";"umagesex",#N/A,FALSE,"Starting Cost";"umbenlim",#N/A,FALSE,"Starting Cost";"umprovdisc",#N/A,FALSE,"Starting Cost";"umother",#N/A,FALSE,"Starting Cost";"umtrend",#N/A,FALSE,"Starting Cost"}</definedName>
    <definedName name="wrn.Detail." localSheetId="19" hidden="1">{"umarea",#N/A,FALSE,"Starting Cost";"umagesex",#N/A,FALSE,"Starting Cost";"umbenlim",#N/A,FALSE,"Starting Cost";"umprovdisc",#N/A,FALSE,"Starting Cost";"umother",#N/A,FALSE,"Starting Cost";"umtrend",#N/A,FALSE,"Starting Cost"}</definedName>
    <definedName name="wrn.Detail." localSheetId="65" hidden="1">{"umarea",#N/A,FALSE,"Starting Cost";"umagesex",#N/A,FALSE,"Starting Cost";"umbenlim",#N/A,FALSE,"Starting Cost";"umprovdisc",#N/A,FALSE,"Starting Cost";"umother",#N/A,FALSE,"Starting Cost";"umtrend",#N/A,FALSE,"Starting Cost"}</definedName>
    <definedName name="wrn.Detail." localSheetId="67" hidden="1">{"umarea",#N/A,FALSE,"Starting Cost";"umagesex",#N/A,FALSE,"Starting Cost";"umbenlim",#N/A,FALSE,"Starting Cost";"umprovdisc",#N/A,FALSE,"Starting Cost";"umother",#N/A,FALSE,"Starting Cost";"umtrend",#N/A,FALSE,"Starting Cost"}</definedName>
    <definedName name="wrn.Detail." localSheetId="69" hidden="1">{"umarea",#N/A,FALSE,"Starting Cost";"umagesex",#N/A,FALSE,"Starting Cost";"umbenlim",#N/A,FALSE,"Starting Cost";"umprovdisc",#N/A,FALSE,"Starting Cost";"umother",#N/A,FALSE,"Starting Cost";"umtrend",#N/A,FALSE,"Starting Cost"}</definedName>
    <definedName name="wrn.Detail." localSheetId="71" hidden="1">{"umarea",#N/A,FALSE,"Starting Cost";"umagesex",#N/A,FALSE,"Starting Cost";"umbenlim",#N/A,FALSE,"Starting Cost";"umprovdisc",#N/A,FALSE,"Starting Cost";"umother",#N/A,FALSE,"Starting Cost";"umtrend",#N/A,FALSE,"Starting Cost"}</definedName>
    <definedName name="wrn.Detail." localSheetId="73" hidden="1">{"umarea",#N/A,FALSE,"Starting Cost";"umagesex",#N/A,FALSE,"Starting Cost";"umbenlim",#N/A,FALSE,"Starting Cost";"umprovdisc",#N/A,FALSE,"Starting Cost";"umother",#N/A,FALSE,"Starting Cost";"umtrend",#N/A,FALSE,"Starting Cost"}</definedName>
    <definedName name="wrn.Detail." localSheetId="75" hidden="1">{"umarea",#N/A,FALSE,"Starting Cost";"umagesex",#N/A,FALSE,"Starting Cost";"umbenlim",#N/A,FALSE,"Starting Cost";"umprovdisc",#N/A,FALSE,"Starting Cost";"umother",#N/A,FALSE,"Starting Cost";"umtrend",#N/A,FALSE,"Starting Cost"}</definedName>
    <definedName name="wrn.Detail." localSheetId="77" hidden="1">{"umarea",#N/A,FALSE,"Starting Cost";"umagesex",#N/A,FALSE,"Starting Cost";"umbenlim",#N/A,FALSE,"Starting Cost";"umprovdisc",#N/A,FALSE,"Starting Cost";"umother",#N/A,FALSE,"Starting Cost";"umtrend",#N/A,FALSE,"Starting Cost"}</definedName>
    <definedName name="wrn.Detail." localSheetId="79" hidden="1">{"umarea",#N/A,FALSE,"Starting Cost";"umagesex",#N/A,FALSE,"Starting Cost";"umbenlim",#N/A,FALSE,"Starting Cost";"umprovdisc",#N/A,FALSE,"Starting Cost";"umother",#N/A,FALSE,"Starting Cost";"umtrend",#N/A,FALSE,"Starting Cost"}</definedName>
    <definedName name="wrn.Detail." localSheetId="81" hidden="1">{"umarea",#N/A,FALSE,"Starting Cost";"umagesex",#N/A,FALSE,"Starting Cost";"umbenlim",#N/A,FALSE,"Starting Cost";"umprovdisc",#N/A,FALSE,"Starting Cost";"umother",#N/A,FALSE,"Starting Cost";"umtrend",#N/A,FALSE,"Starting Cost"}</definedName>
    <definedName name="wrn.Detail." localSheetId="49" hidden="1">{"umarea",#N/A,FALSE,"Starting Cost";"umagesex",#N/A,FALSE,"Starting Cost";"umbenlim",#N/A,FALSE,"Starting Cost";"umprovdisc",#N/A,FALSE,"Starting Cost";"umother",#N/A,FALSE,"Starting Cost";"umtrend",#N/A,FALSE,"Starting Cost"}</definedName>
    <definedName name="wrn.Detail." localSheetId="51" hidden="1">{"umarea",#N/A,FALSE,"Starting Cost";"umagesex",#N/A,FALSE,"Starting Cost";"umbenlim",#N/A,FALSE,"Starting Cost";"umprovdisc",#N/A,FALSE,"Starting Cost";"umother",#N/A,FALSE,"Starting Cost";"umtrend",#N/A,FALSE,"Starting Cost"}</definedName>
    <definedName name="wrn.Detail." localSheetId="53" hidden="1">{"umarea",#N/A,FALSE,"Starting Cost";"umagesex",#N/A,FALSE,"Starting Cost";"umbenlim",#N/A,FALSE,"Starting Cost";"umprovdisc",#N/A,FALSE,"Starting Cost";"umother",#N/A,FALSE,"Starting Cost";"umtrend",#N/A,FALSE,"Starting Cost"}</definedName>
    <definedName name="wrn.Detail." localSheetId="55" hidden="1">{"umarea",#N/A,FALSE,"Starting Cost";"umagesex",#N/A,FALSE,"Starting Cost";"umbenlim",#N/A,FALSE,"Starting Cost";"umprovdisc",#N/A,FALSE,"Starting Cost";"umother",#N/A,FALSE,"Starting Cost";"umtrend",#N/A,FALSE,"Starting Cost"}</definedName>
    <definedName name="wrn.Detail." localSheetId="57" hidden="1">{"umarea",#N/A,FALSE,"Starting Cost";"umagesex",#N/A,FALSE,"Starting Cost";"umbenlim",#N/A,FALSE,"Starting Cost";"umprovdisc",#N/A,FALSE,"Starting Cost";"umother",#N/A,FALSE,"Starting Cost";"umtrend",#N/A,FALSE,"Starting Cost"}</definedName>
    <definedName name="wrn.Detail." localSheetId="59" hidden="1">{"umarea",#N/A,FALSE,"Starting Cost";"umagesex",#N/A,FALSE,"Starting Cost";"umbenlim",#N/A,FALSE,"Starting Cost";"umprovdisc",#N/A,FALSE,"Starting Cost";"umother",#N/A,FALSE,"Starting Cost";"umtrend",#N/A,FALSE,"Starting Cost"}</definedName>
    <definedName name="wrn.Detail." localSheetId="61" hidden="1">{"umarea",#N/A,FALSE,"Starting Cost";"umagesex",#N/A,FALSE,"Starting Cost";"umbenlim",#N/A,FALSE,"Starting Cost";"umprovdisc",#N/A,FALSE,"Starting Cost";"umother",#N/A,FALSE,"Starting Cost";"umtrend",#N/A,FALSE,"Starting Cost"}</definedName>
    <definedName name="wrn.Detail." localSheetId="63" hidden="1">{"umarea",#N/A,FALSE,"Starting Cost";"umagesex",#N/A,FALSE,"Starting Cost";"umbenlim",#N/A,FALSE,"Starting Cost";"umprovdisc",#N/A,FALSE,"Starting Cost";"umother",#N/A,FALSE,"Starting Cost";"umtrend",#N/A,FALSE,"Starting Cost"}</definedName>
    <definedName name="wrn.Detail." localSheetId="64" hidden="1">{"umarea",#N/A,FALSE,"Starting Cost";"umagesex",#N/A,FALSE,"Starting Cost";"umbenlim",#N/A,FALSE,"Starting Cost";"umprovdisc",#N/A,FALSE,"Starting Cost";"umother",#N/A,FALSE,"Starting Cost";"umtrend",#N/A,FALSE,"Starting Cost"}</definedName>
    <definedName name="wrn.Detail." localSheetId="66" hidden="1">{"umarea",#N/A,FALSE,"Starting Cost";"umagesex",#N/A,FALSE,"Starting Cost";"umbenlim",#N/A,FALSE,"Starting Cost";"umprovdisc",#N/A,FALSE,"Starting Cost";"umother",#N/A,FALSE,"Starting Cost";"umtrend",#N/A,FALSE,"Starting Cost"}</definedName>
    <definedName name="wrn.Detail." localSheetId="68" hidden="1">{"umarea",#N/A,FALSE,"Starting Cost";"umagesex",#N/A,FALSE,"Starting Cost";"umbenlim",#N/A,FALSE,"Starting Cost";"umprovdisc",#N/A,FALSE,"Starting Cost";"umother",#N/A,FALSE,"Starting Cost";"umtrend",#N/A,FALSE,"Starting Cost"}</definedName>
    <definedName name="wrn.Detail." localSheetId="70" hidden="1">{"umarea",#N/A,FALSE,"Starting Cost";"umagesex",#N/A,FALSE,"Starting Cost";"umbenlim",#N/A,FALSE,"Starting Cost";"umprovdisc",#N/A,FALSE,"Starting Cost";"umother",#N/A,FALSE,"Starting Cost";"umtrend",#N/A,FALSE,"Starting Cost"}</definedName>
    <definedName name="wrn.Detail." localSheetId="72" hidden="1">{"umarea",#N/A,FALSE,"Starting Cost";"umagesex",#N/A,FALSE,"Starting Cost";"umbenlim",#N/A,FALSE,"Starting Cost";"umprovdisc",#N/A,FALSE,"Starting Cost";"umother",#N/A,FALSE,"Starting Cost";"umtrend",#N/A,FALSE,"Starting Cost"}</definedName>
    <definedName name="wrn.Detail." localSheetId="74" hidden="1">{"umarea",#N/A,FALSE,"Starting Cost";"umagesex",#N/A,FALSE,"Starting Cost";"umbenlim",#N/A,FALSE,"Starting Cost";"umprovdisc",#N/A,FALSE,"Starting Cost";"umother",#N/A,FALSE,"Starting Cost";"umtrend",#N/A,FALSE,"Starting Cost"}</definedName>
    <definedName name="wrn.Detail." localSheetId="76" hidden="1">{"umarea",#N/A,FALSE,"Starting Cost";"umagesex",#N/A,FALSE,"Starting Cost";"umbenlim",#N/A,FALSE,"Starting Cost";"umprovdisc",#N/A,FALSE,"Starting Cost";"umother",#N/A,FALSE,"Starting Cost";"umtrend",#N/A,FALSE,"Starting Cost"}</definedName>
    <definedName name="wrn.Detail." localSheetId="78" hidden="1">{"umarea",#N/A,FALSE,"Starting Cost";"umagesex",#N/A,FALSE,"Starting Cost";"umbenlim",#N/A,FALSE,"Starting Cost";"umprovdisc",#N/A,FALSE,"Starting Cost";"umother",#N/A,FALSE,"Starting Cost";"umtrend",#N/A,FALSE,"Starting Cost"}</definedName>
    <definedName name="wrn.Detail." localSheetId="80" hidden="1">{"umarea",#N/A,FALSE,"Starting Cost";"umagesex",#N/A,FALSE,"Starting Cost";"umbenlim",#N/A,FALSE,"Starting Cost";"umprovdisc",#N/A,FALSE,"Starting Cost";"umother",#N/A,FALSE,"Starting Cost";"umtrend",#N/A,FALSE,"Starting Cost"}</definedName>
    <definedName name="wrn.Detail." localSheetId="48" hidden="1">{"umarea",#N/A,FALSE,"Starting Cost";"umagesex",#N/A,FALSE,"Starting Cost";"umbenlim",#N/A,FALSE,"Starting Cost";"umprovdisc",#N/A,FALSE,"Starting Cost";"umother",#N/A,FALSE,"Starting Cost";"umtrend",#N/A,FALSE,"Starting Cost"}</definedName>
    <definedName name="wrn.Detail." localSheetId="50" hidden="1">{"umarea",#N/A,FALSE,"Starting Cost";"umagesex",#N/A,FALSE,"Starting Cost";"umbenlim",#N/A,FALSE,"Starting Cost";"umprovdisc",#N/A,FALSE,"Starting Cost";"umother",#N/A,FALSE,"Starting Cost";"umtrend",#N/A,FALSE,"Starting Cost"}</definedName>
    <definedName name="wrn.Detail." localSheetId="52" hidden="1">{"umarea",#N/A,FALSE,"Starting Cost";"umagesex",#N/A,FALSE,"Starting Cost";"umbenlim",#N/A,FALSE,"Starting Cost";"umprovdisc",#N/A,FALSE,"Starting Cost";"umother",#N/A,FALSE,"Starting Cost";"umtrend",#N/A,FALSE,"Starting Cost"}</definedName>
    <definedName name="wrn.Detail." localSheetId="54" hidden="1">{"umarea",#N/A,FALSE,"Starting Cost";"umagesex",#N/A,FALSE,"Starting Cost";"umbenlim",#N/A,FALSE,"Starting Cost";"umprovdisc",#N/A,FALSE,"Starting Cost";"umother",#N/A,FALSE,"Starting Cost";"umtrend",#N/A,FALSE,"Starting Cost"}</definedName>
    <definedName name="wrn.Detail." localSheetId="56" hidden="1">{"umarea",#N/A,FALSE,"Starting Cost";"umagesex",#N/A,FALSE,"Starting Cost";"umbenlim",#N/A,FALSE,"Starting Cost";"umprovdisc",#N/A,FALSE,"Starting Cost";"umother",#N/A,FALSE,"Starting Cost";"umtrend",#N/A,FALSE,"Starting Cost"}</definedName>
    <definedName name="wrn.Detail." localSheetId="58" hidden="1">{"umarea",#N/A,FALSE,"Starting Cost";"umagesex",#N/A,FALSE,"Starting Cost";"umbenlim",#N/A,FALSE,"Starting Cost";"umprovdisc",#N/A,FALSE,"Starting Cost";"umother",#N/A,FALSE,"Starting Cost";"umtrend",#N/A,FALSE,"Starting Cost"}</definedName>
    <definedName name="wrn.Detail." localSheetId="60" hidden="1">{"umarea",#N/A,FALSE,"Starting Cost";"umagesex",#N/A,FALSE,"Starting Cost";"umbenlim",#N/A,FALSE,"Starting Cost";"umprovdisc",#N/A,FALSE,"Starting Cost";"umother",#N/A,FALSE,"Starting Cost";"umtrend",#N/A,FALSE,"Starting Cost"}</definedName>
    <definedName name="wrn.Detail." localSheetId="62" hidden="1">{"umarea",#N/A,FALSE,"Starting Cost";"umagesex",#N/A,FALSE,"Starting Cost";"umbenlim",#N/A,FALSE,"Starting Cost";"umprovdisc",#N/A,FALSE,"Starting Cost";"umother",#N/A,FALSE,"Starting Cost";"umtrend",#N/A,FALSE,"Starting Cost"}</definedName>
    <definedName name="wrn.Detail." localSheetId="92" hidden="1">{"umarea",#N/A,FALSE,"Starting Cost";"umagesex",#N/A,FALSE,"Starting Cost";"umbenlim",#N/A,FALSE,"Starting Cost";"umprovdisc",#N/A,FALSE,"Starting Cost";"umother",#N/A,FALSE,"Starting Cost";"umtrend",#N/A,FALSE,"Starting Cost"}</definedName>
    <definedName name="wrn.Detail." localSheetId="86" hidden="1">{"umarea",#N/A,FALSE,"Starting Cost";"umagesex",#N/A,FALSE,"Starting Cost";"umbenlim",#N/A,FALSE,"Starting Cost";"umprovdisc",#N/A,FALSE,"Starting Cost";"umother",#N/A,FALSE,"Starting Cost";"umtrend",#N/A,FALSE,"Starting Cost"}</definedName>
    <definedName name="wrn.Detail." localSheetId="88" hidden="1">{"umarea",#N/A,FALSE,"Starting Cost";"umagesex",#N/A,FALSE,"Starting Cost";"umbenlim",#N/A,FALSE,"Starting Cost";"umprovdisc",#N/A,FALSE,"Starting Cost";"umother",#N/A,FALSE,"Starting Cost";"umtrend",#N/A,FALSE,"Starting Cost"}</definedName>
    <definedName name="wrn.Detail." localSheetId="90" hidden="1">{"umarea",#N/A,FALSE,"Starting Cost";"umagesex",#N/A,FALSE,"Starting Cost";"umbenlim",#N/A,FALSE,"Starting Cost";"umprovdisc",#N/A,FALSE,"Starting Cost";"umother",#N/A,FALSE,"Starting Cost";"umtrend",#N/A,FALSE,"Starting Cost"}</definedName>
    <definedName name="wrn.Detail." localSheetId="91" hidden="1">{"umarea",#N/A,FALSE,"Starting Cost";"umagesex",#N/A,FALSE,"Starting Cost";"umbenlim",#N/A,FALSE,"Starting Cost";"umprovdisc",#N/A,FALSE,"Starting Cost";"umother",#N/A,FALSE,"Starting Cost";"umtrend",#N/A,FALSE,"Starting Cost"}</definedName>
    <definedName name="wrn.Detail." localSheetId="85" hidden="1">{"umarea",#N/A,FALSE,"Starting Cost";"umagesex",#N/A,FALSE,"Starting Cost";"umbenlim",#N/A,FALSE,"Starting Cost";"umprovdisc",#N/A,FALSE,"Starting Cost";"umother",#N/A,FALSE,"Starting Cost";"umtrend",#N/A,FALSE,"Starting Cost"}</definedName>
    <definedName name="wrn.Detail." localSheetId="87" hidden="1">{"umarea",#N/A,FALSE,"Starting Cost";"umagesex",#N/A,FALSE,"Starting Cost";"umbenlim",#N/A,FALSE,"Starting Cost";"umprovdisc",#N/A,FALSE,"Starting Cost";"umother",#N/A,FALSE,"Starting Cost";"umtrend",#N/A,FALSE,"Starting Cost"}</definedName>
    <definedName name="wrn.Detail." localSheetId="89" hidden="1">{"umarea",#N/A,FALSE,"Starting Cost";"umagesex",#N/A,FALSE,"Starting Cost";"umbenlim",#N/A,FALSE,"Starting Cost";"umprovdisc",#N/A,FALSE,"Starting Cost";"umother",#N/A,FALSE,"Starting Cost";"umtrend",#N/A,FALSE,"Starting Cost"}</definedName>
    <definedName name="wrn.Detail." hidden="1">{"umarea",#N/A,FALSE,"Starting Cost";"umagesex",#N/A,FALSE,"Starting Cost";"umbenlim",#N/A,FALSE,"Starting Cost";"umprovdisc",#N/A,FALSE,"Starting Cost";"umother",#N/A,FALSE,"Starting Cost";"umtrend",#N/A,FALSE,"Starting Cost"}</definedName>
    <definedName name="wrn.Draft_COBRA_1." localSheetId="22" hidden="1">{"Regular_1",#N/A,FALSE,"Trend Form";"Disability_1",#N/A,FALSE,"Trend Form";"Detail_1",#N/A,FALSE,"Trend Form"}</definedName>
    <definedName name="wrn.Draft_COBRA_1." localSheetId="24" hidden="1">{"Regular_1",#N/A,FALSE,"Trend Form";"Disability_1",#N/A,FALSE,"Trend Form";"Detail_1",#N/A,FALSE,"Trend Form"}</definedName>
    <definedName name="wrn.Draft_COBRA_1." localSheetId="26" hidden="1">{"Regular_1",#N/A,FALSE,"Trend Form";"Disability_1",#N/A,FALSE,"Trend Form";"Detail_1",#N/A,FALSE,"Trend Form"}</definedName>
    <definedName name="wrn.Draft_COBRA_1." localSheetId="28" hidden="1">{"Regular_1",#N/A,FALSE,"Trend Form";"Disability_1",#N/A,FALSE,"Trend Form";"Detail_1",#N/A,FALSE,"Trend Form"}</definedName>
    <definedName name="wrn.Draft_COBRA_1." localSheetId="30" hidden="1">{"Regular_1",#N/A,FALSE,"Trend Form";"Disability_1",#N/A,FALSE,"Trend Form";"Detail_1",#N/A,FALSE,"Trend Form"}</definedName>
    <definedName name="wrn.Draft_COBRA_1." localSheetId="32" hidden="1">{"Regular_1",#N/A,FALSE,"Trend Form";"Disability_1",#N/A,FALSE,"Trend Form";"Detail_1",#N/A,FALSE,"Trend Form"}</definedName>
    <definedName name="wrn.Draft_COBRA_1." localSheetId="34" hidden="1">{"Regular_1",#N/A,FALSE,"Trend Form";"Disability_1",#N/A,FALSE,"Trend Form";"Detail_1",#N/A,FALSE,"Trend Form"}</definedName>
    <definedName name="wrn.Draft_COBRA_1." localSheetId="36" hidden="1">{"Regular_1",#N/A,FALSE,"Trend Form";"Disability_1",#N/A,FALSE,"Trend Form";"Detail_1",#N/A,FALSE,"Trend Form"}</definedName>
    <definedName name="wrn.Draft_COBRA_1." localSheetId="38" hidden="1">{"Regular_1",#N/A,FALSE,"Trend Form";"Disability_1",#N/A,FALSE,"Trend Form";"Detail_1",#N/A,FALSE,"Trend Form"}</definedName>
    <definedName name="wrn.Draft_COBRA_1." localSheetId="40" hidden="1">{"Regular_1",#N/A,FALSE,"Trend Form";"Disability_1",#N/A,FALSE,"Trend Form";"Detail_1",#N/A,FALSE,"Trend Form"}</definedName>
    <definedName name="wrn.Draft_COBRA_1." localSheetId="8" hidden="1">{"Regular_1",#N/A,FALSE,"Trend Form";"Disability_1",#N/A,FALSE,"Trend Form";"Detail_1",#N/A,FALSE,"Trend Form"}</definedName>
    <definedName name="wrn.Draft_COBRA_1." localSheetId="42" hidden="1">{"Regular_1",#N/A,FALSE,"Trend Form";"Disability_1",#N/A,FALSE,"Trend Form";"Detail_1",#N/A,FALSE,"Trend Form"}</definedName>
    <definedName name="wrn.Draft_COBRA_1." localSheetId="44" hidden="1">{"Regular_1",#N/A,FALSE,"Trend Form";"Disability_1",#N/A,FALSE,"Trend Form";"Detail_1",#N/A,FALSE,"Trend Form"}</definedName>
    <definedName name="wrn.Draft_COBRA_1." localSheetId="10" hidden="1">{"Regular_1",#N/A,FALSE,"Trend Form";"Disability_1",#N/A,FALSE,"Trend Form";"Detail_1",#N/A,FALSE,"Trend Form"}</definedName>
    <definedName name="wrn.Draft_COBRA_1." localSheetId="12" hidden="1">{"Regular_1",#N/A,FALSE,"Trend Form";"Disability_1",#N/A,FALSE,"Trend Form";"Detail_1",#N/A,FALSE,"Trend Form"}</definedName>
    <definedName name="wrn.Draft_COBRA_1." localSheetId="14" hidden="1">{"Regular_1",#N/A,FALSE,"Trend Form";"Disability_1",#N/A,FALSE,"Trend Form";"Detail_1",#N/A,FALSE,"Trend Form"}</definedName>
    <definedName name="wrn.Draft_COBRA_1." localSheetId="16" hidden="1">{"Regular_1",#N/A,FALSE,"Trend Form";"Disability_1",#N/A,FALSE,"Trend Form";"Detail_1",#N/A,FALSE,"Trend Form"}</definedName>
    <definedName name="wrn.Draft_COBRA_1." localSheetId="18" hidden="1">{"Regular_1",#N/A,FALSE,"Trend Form";"Disability_1",#N/A,FALSE,"Trend Form";"Detail_1",#N/A,FALSE,"Trend Form"}</definedName>
    <definedName name="wrn.Draft_COBRA_1." localSheetId="20" hidden="1">{"Regular_1",#N/A,FALSE,"Trend Form";"Disability_1",#N/A,FALSE,"Trend Form";"Detail_1",#N/A,FALSE,"Trend Form"}</definedName>
    <definedName name="wrn.Draft_COBRA_1." localSheetId="21" hidden="1">{"Regular_1",#N/A,FALSE,"Trend Form";"Disability_1",#N/A,FALSE,"Trend Form";"Detail_1",#N/A,FALSE,"Trend Form"}</definedName>
    <definedName name="wrn.Draft_COBRA_1." localSheetId="23" hidden="1">{"Regular_1",#N/A,FALSE,"Trend Form";"Disability_1",#N/A,FALSE,"Trend Form";"Detail_1",#N/A,FALSE,"Trend Form"}</definedName>
    <definedName name="wrn.Draft_COBRA_1." localSheetId="25" hidden="1">{"Regular_1",#N/A,FALSE,"Trend Form";"Disability_1",#N/A,FALSE,"Trend Form";"Detail_1",#N/A,FALSE,"Trend Form"}</definedName>
    <definedName name="wrn.Draft_COBRA_1." localSheetId="27" hidden="1">{"Regular_1",#N/A,FALSE,"Trend Form";"Disability_1",#N/A,FALSE,"Trend Form";"Detail_1",#N/A,FALSE,"Trend Form"}</definedName>
    <definedName name="wrn.Draft_COBRA_1." localSheetId="29" hidden="1">{"Regular_1",#N/A,FALSE,"Trend Form";"Disability_1",#N/A,FALSE,"Trend Form";"Detail_1",#N/A,FALSE,"Trend Form"}</definedName>
    <definedName name="wrn.Draft_COBRA_1." localSheetId="31" hidden="1">{"Regular_1",#N/A,FALSE,"Trend Form";"Disability_1",#N/A,FALSE,"Trend Form";"Detail_1",#N/A,FALSE,"Trend Form"}</definedName>
    <definedName name="wrn.Draft_COBRA_1." localSheetId="33" hidden="1">{"Regular_1",#N/A,FALSE,"Trend Form";"Disability_1",#N/A,FALSE,"Trend Form";"Detail_1",#N/A,FALSE,"Trend Form"}</definedName>
    <definedName name="wrn.Draft_COBRA_1." localSheetId="35" hidden="1">{"Regular_1",#N/A,FALSE,"Trend Form";"Disability_1",#N/A,FALSE,"Trend Form";"Detail_1",#N/A,FALSE,"Trend Form"}</definedName>
    <definedName name="wrn.Draft_COBRA_1." localSheetId="37" hidden="1">{"Regular_1",#N/A,FALSE,"Trend Form";"Disability_1",#N/A,FALSE,"Trend Form";"Detail_1",#N/A,FALSE,"Trend Form"}</definedName>
    <definedName name="wrn.Draft_COBRA_1." localSheetId="39" hidden="1">{"Regular_1",#N/A,FALSE,"Trend Form";"Disability_1",#N/A,FALSE,"Trend Form";"Detail_1",#N/A,FALSE,"Trend Form"}</definedName>
    <definedName name="wrn.Draft_COBRA_1." localSheetId="7" hidden="1">{"Regular_1",#N/A,FALSE,"Trend Form";"Disability_1",#N/A,FALSE,"Trend Form";"Detail_1",#N/A,FALSE,"Trend Form"}</definedName>
    <definedName name="wrn.Draft_COBRA_1." localSheetId="41" hidden="1">{"Regular_1",#N/A,FALSE,"Trend Form";"Disability_1",#N/A,FALSE,"Trend Form";"Detail_1",#N/A,FALSE,"Trend Form"}</definedName>
    <definedName name="wrn.Draft_COBRA_1." localSheetId="43" hidden="1">{"Regular_1",#N/A,FALSE,"Trend Form";"Disability_1",#N/A,FALSE,"Trend Form";"Detail_1",#N/A,FALSE,"Trend Form"}</definedName>
    <definedName name="wrn.Draft_COBRA_1." localSheetId="9" hidden="1">{"Regular_1",#N/A,FALSE,"Trend Form";"Disability_1",#N/A,FALSE,"Trend Form";"Detail_1",#N/A,FALSE,"Trend Form"}</definedName>
    <definedName name="wrn.Draft_COBRA_1." localSheetId="11" hidden="1">{"Regular_1",#N/A,FALSE,"Trend Form";"Disability_1",#N/A,FALSE,"Trend Form";"Detail_1",#N/A,FALSE,"Trend Form"}</definedName>
    <definedName name="wrn.Draft_COBRA_1." localSheetId="13" hidden="1">{"Regular_1",#N/A,FALSE,"Trend Form";"Disability_1",#N/A,FALSE,"Trend Form";"Detail_1",#N/A,FALSE,"Trend Form"}</definedName>
    <definedName name="wrn.Draft_COBRA_1." localSheetId="15" hidden="1">{"Regular_1",#N/A,FALSE,"Trend Form";"Disability_1",#N/A,FALSE,"Trend Form";"Detail_1",#N/A,FALSE,"Trend Form"}</definedName>
    <definedName name="wrn.Draft_COBRA_1." localSheetId="17" hidden="1">{"Regular_1",#N/A,FALSE,"Trend Form";"Disability_1",#N/A,FALSE,"Trend Form";"Detail_1",#N/A,FALSE,"Trend Form"}</definedName>
    <definedName name="wrn.Draft_COBRA_1." localSheetId="19" hidden="1">{"Regular_1",#N/A,FALSE,"Trend Form";"Disability_1",#N/A,FALSE,"Trend Form";"Detail_1",#N/A,FALSE,"Trend Form"}</definedName>
    <definedName name="wrn.Draft_COBRA_1." localSheetId="65" hidden="1">{"Regular_1",#N/A,FALSE,"Trend Form";"Disability_1",#N/A,FALSE,"Trend Form";"Detail_1",#N/A,FALSE,"Trend Form"}</definedName>
    <definedName name="wrn.Draft_COBRA_1." localSheetId="67" hidden="1">{"Regular_1",#N/A,FALSE,"Trend Form";"Disability_1",#N/A,FALSE,"Trend Form";"Detail_1",#N/A,FALSE,"Trend Form"}</definedName>
    <definedName name="wrn.Draft_COBRA_1." localSheetId="69" hidden="1">{"Regular_1",#N/A,FALSE,"Trend Form";"Disability_1",#N/A,FALSE,"Trend Form";"Detail_1",#N/A,FALSE,"Trend Form"}</definedName>
    <definedName name="wrn.Draft_COBRA_1." localSheetId="71" hidden="1">{"Regular_1",#N/A,FALSE,"Trend Form";"Disability_1",#N/A,FALSE,"Trend Form";"Detail_1",#N/A,FALSE,"Trend Form"}</definedName>
    <definedName name="wrn.Draft_COBRA_1." localSheetId="73" hidden="1">{"Regular_1",#N/A,FALSE,"Trend Form";"Disability_1",#N/A,FALSE,"Trend Form";"Detail_1",#N/A,FALSE,"Trend Form"}</definedName>
    <definedName name="wrn.Draft_COBRA_1." localSheetId="75" hidden="1">{"Regular_1",#N/A,FALSE,"Trend Form";"Disability_1",#N/A,FALSE,"Trend Form";"Detail_1",#N/A,FALSE,"Trend Form"}</definedName>
    <definedName name="wrn.Draft_COBRA_1." localSheetId="77" hidden="1">{"Regular_1",#N/A,FALSE,"Trend Form";"Disability_1",#N/A,FALSE,"Trend Form";"Detail_1",#N/A,FALSE,"Trend Form"}</definedName>
    <definedName name="wrn.Draft_COBRA_1." localSheetId="79" hidden="1">{"Regular_1",#N/A,FALSE,"Trend Form";"Disability_1",#N/A,FALSE,"Trend Form";"Detail_1",#N/A,FALSE,"Trend Form"}</definedName>
    <definedName name="wrn.Draft_COBRA_1." localSheetId="81" hidden="1">{"Regular_1",#N/A,FALSE,"Trend Form";"Disability_1",#N/A,FALSE,"Trend Form";"Detail_1",#N/A,FALSE,"Trend Form"}</definedName>
    <definedName name="wrn.Draft_COBRA_1." localSheetId="49" hidden="1">{"Regular_1",#N/A,FALSE,"Trend Form";"Disability_1",#N/A,FALSE,"Trend Form";"Detail_1",#N/A,FALSE,"Trend Form"}</definedName>
    <definedName name="wrn.Draft_COBRA_1." localSheetId="51" hidden="1">{"Regular_1",#N/A,FALSE,"Trend Form";"Disability_1",#N/A,FALSE,"Trend Form";"Detail_1",#N/A,FALSE,"Trend Form"}</definedName>
    <definedName name="wrn.Draft_COBRA_1." localSheetId="53" hidden="1">{"Regular_1",#N/A,FALSE,"Trend Form";"Disability_1",#N/A,FALSE,"Trend Form";"Detail_1",#N/A,FALSE,"Trend Form"}</definedName>
    <definedName name="wrn.Draft_COBRA_1." localSheetId="55" hidden="1">{"Regular_1",#N/A,FALSE,"Trend Form";"Disability_1",#N/A,FALSE,"Trend Form";"Detail_1",#N/A,FALSE,"Trend Form"}</definedName>
    <definedName name="wrn.Draft_COBRA_1." localSheetId="57" hidden="1">{"Regular_1",#N/A,FALSE,"Trend Form";"Disability_1",#N/A,FALSE,"Trend Form";"Detail_1",#N/A,FALSE,"Trend Form"}</definedName>
    <definedName name="wrn.Draft_COBRA_1." localSheetId="59" hidden="1">{"Regular_1",#N/A,FALSE,"Trend Form";"Disability_1",#N/A,FALSE,"Trend Form";"Detail_1",#N/A,FALSE,"Trend Form"}</definedName>
    <definedName name="wrn.Draft_COBRA_1." localSheetId="61" hidden="1">{"Regular_1",#N/A,FALSE,"Trend Form";"Disability_1",#N/A,FALSE,"Trend Form";"Detail_1",#N/A,FALSE,"Trend Form"}</definedName>
    <definedName name="wrn.Draft_COBRA_1." localSheetId="63" hidden="1">{"Regular_1",#N/A,FALSE,"Trend Form";"Disability_1",#N/A,FALSE,"Trend Form";"Detail_1",#N/A,FALSE,"Trend Form"}</definedName>
    <definedName name="wrn.Draft_COBRA_1." localSheetId="64" hidden="1">{"Regular_1",#N/A,FALSE,"Trend Form";"Disability_1",#N/A,FALSE,"Trend Form";"Detail_1",#N/A,FALSE,"Trend Form"}</definedName>
    <definedName name="wrn.Draft_COBRA_1." localSheetId="66" hidden="1">{"Regular_1",#N/A,FALSE,"Trend Form";"Disability_1",#N/A,FALSE,"Trend Form";"Detail_1",#N/A,FALSE,"Trend Form"}</definedName>
    <definedName name="wrn.Draft_COBRA_1." localSheetId="68" hidden="1">{"Regular_1",#N/A,FALSE,"Trend Form";"Disability_1",#N/A,FALSE,"Trend Form";"Detail_1",#N/A,FALSE,"Trend Form"}</definedName>
    <definedName name="wrn.Draft_COBRA_1." localSheetId="70" hidden="1">{"Regular_1",#N/A,FALSE,"Trend Form";"Disability_1",#N/A,FALSE,"Trend Form";"Detail_1",#N/A,FALSE,"Trend Form"}</definedName>
    <definedName name="wrn.Draft_COBRA_1." localSheetId="72" hidden="1">{"Regular_1",#N/A,FALSE,"Trend Form";"Disability_1",#N/A,FALSE,"Trend Form";"Detail_1",#N/A,FALSE,"Trend Form"}</definedName>
    <definedName name="wrn.Draft_COBRA_1." localSheetId="74" hidden="1">{"Regular_1",#N/A,FALSE,"Trend Form";"Disability_1",#N/A,FALSE,"Trend Form";"Detail_1",#N/A,FALSE,"Trend Form"}</definedName>
    <definedName name="wrn.Draft_COBRA_1." localSheetId="76" hidden="1">{"Regular_1",#N/A,FALSE,"Trend Form";"Disability_1",#N/A,FALSE,"Trend Form";"Detail_1",#N/A,FALSE,"Trend Form"}</definedName>
    <definedName name="wrn.Draft_COBRA_1." localSheetId="78" hidden="1">{"Regular_1",#N/A,FALSE,"Trend Form";"Disability_1",#N/A,FALSE,"Trend Form";"Detail_1",#N/A,FALSE,"Trend Form"}</definedName>
    <definedName name="wrn.Draft_COBRA_1." localSheetId="80" hidden="1">{"Regular_1",#N/A,FALSE,"Trend Form";"Disability_1",#N/A,FALSE,"Trend Form";"Detail_1",#N/A,FALSE,"Trend Form"}</definedName>
    <definedName name="wrn.Draft_COBRA_1." localSheetId="48" hidden="1">{"Regular_1",#N/A,FALSE,"Trend Form";"Disability_1",#N/A,FALSE,"Trend Form";"Detail_1",#N/A,FALSE,"Trend Form"}</definedName>
    <definedName name="wrn.Draft_COBRA_1." localSheetId="50" hidden="1">{"Regular_1",#N/A,FALSE,"Trend Form";"Disability_1",#N/A,FALSE,"Trend Form";"Detail_1",#N/A,FALSE,"Trend Form"}</definedName>
    <definedName name="wrn.Draft_COBRA_1." localSheetId="52" hidden="1">{"Regular_1",#N/A,FALSE,"Trend Form";"Disability_1",#N/A,FALSE,"Trend Form";"Detail_1",#N/A,FALSE,"Trend Form"}</definedName>
    <definedName name="wrn.Draft_COBRA_1." localSheetId="54" hidden="1">{"Regular_1",#N/A,FALSE,"Trend Form";"Disability_1",#N/A,FALSE,"Trend Form";"Detail_1",#N/A,FALSE,"Trend Form"}</definedName>
    <definedName name="wrn.Draft_COBRA_1." localSheetId="56" hidden="1">{"Regular_1",#N/A,FALSE,"Trend Form";"Disability_1",#N/A,FALSE,"Trend Form";"Detail_1",#N/A,FALSE,"Trend Form"}</definedName>
    <definedName name="wrn.Draft_COBRA_1." localSheetId="58" hidden="1">{"Regular_1",#N/A,FALSE,"Trend Form";"Disability_1",#N/A,FALSE,"Trend Form";"Detail_1",#N/A,FALSE,"Trend Form"}</definedName>
    <definedName name="wrn.Draft_COBRA_1." localSheetId="60" hidden="1">{"Regular_1",#N/A,FALSE,"Trend Form";"Disability_1",#N/A,FALSE,"Trend Form";"Detail_1",#N/A,FALSE,"Trend Form"}</definedName>
    <definedName name="wrn.Draft_COBRA_1." localSheetId="62" hidden="1">{"Regular_1",#N/A,FALSE,"Trend Form";"Disability_1",#N/A,FALSE,"Trend Form";"Detail_1",#N/A,FALSE,"Trend Form"}</definedName>
    <definedName name="wrn.Draft_COBRA_1." localSheetId="92" hidden="1">{"Regular_1",#N/A,FALSE,"Trend Form";"Disability_1",#N/A,FALSE,"Trend Form";"Detail_1",#N/A,FALSE,"Trend Form"}</definedName>
    <definedName name="wrn.Draft_COBRA_1." localSheetId="86" hidden="1">{"Regular_1",#N/A,FALSE,"Trend Form";"Disability_1",#N/A,FALSE,"Trend Form";"Detail_1",#N/A,FALSE,"Trend Form"}</definedName>
    <definedName name="wrn.Draft_COBRA_1." localSheetId="88" hidden="1">{"Regular_1",#N/A,FALSE,"Trend Form";"Disability_1",#N/A,FALSE,"Trend Form";"Detail_1",#N/A,FALSE,"Trend Form"}</definedName>
    <definedName name="wrn.Draft_COBRA_1." localSheetId="90" hidden="1">{"Regular_1",#N/A,FALSE,"Trend Form";"Disability_1",#N/A,FALSE,"Trend Form";"Detail_1",#N/A,FALSE,"Trend Form"}</definedName>
    <definedName name="wrn.Draft_COBRA_1." localSheetId="91" hidden="1">{"Regular_1",#N/A,FALSE,"Trend Form";"Disability_1",#N/A,FALSE,"Trend Form";"Detail_1",#N/A,FALSE,"Trend Form"}</definedName>
    <definedName name="wrn.Draft_COBRA_1." localSheetId="85" hidden="1">{"Regular_1",#N/A,FALSE,"Trend Form";"Disability_1",#N/A,FALSE,"Trend Form";"Detail_1",#N/A,FALSE,"Trend Form"}</definedName>
    <definedName name="wrn.Draft_COBRA_1." localSheetId="87" hidden="1">{"Regular_1",#N/A,FALSE,"Trend Form";"Disability_1",#N/A,FALSE,"Trend Form";"Detail_1",#N/A,FALSE,"Trend Form"}</definedName>
    <definedName name="wrn.Draft_COBRA_1." localSheetId="89" hidden="1">{"Regular_1",#N/A,FALSE,"Trend Form";"Disability_1",#N/A,FALSE,"Trend Form";"Detail_1",#N/A,FALSE,"Trend Form"}</definedName>
    <definedName name="wrn.Draft_COBRA_1." hidden="1">{"Regular_1",#N/A,FALSE,"Trend Form";"Disability_1",#N/A,FALSE,"Trend Form";"Detail_1",#N/A,FALSE,"Trend Form"}</definedName>
    <definedName name="wrn.Draft_COBRA_1_2." localSheetId="22" hidden="1">{"Regular_1",#N/A,FALSE,"Trend Form";"Disability_1",#N/A,FALSE,"Trend Form";"Detail_1",#N/A,FALSE,"Trend Form";"Regular_2",#N/A,FALSE,"Trend Form";"Disability_2",#N/A,FALSE,"Trend Form";"Detail_2",#N/A,FALSE,"Trend Form"}</definedName>
    <definedName name="wrn.Draft_COBRA_1_2." localSheetId="24" hidden="1">{"Regular_1",#N/A,FALSE,"Trend Form";"Disability_1",#N/A,FALSE,"Trend Form";"Detail_1",#N/A,FALSE,"Trend Form";"Regular_2",#N/A,FALSE,"Trend Form";"Disability_2",#N/A,FALSE,"Trend Form";"Detail_2",#N/A,FALSE,"Trend Form"}</definedName>
    <definedName name="wrn.Draft_COBRA_1_2." localSheetId="26" hidden="1">{"Regular_1",#N/A,FALSE,"Trend Form";"Disability_1",#N/A,FALSE,"Trend Form";"Detail_1",#N/A,FALSE,"Trend Form";"Regular_2",#N/A,FALSE,"Trend Form";"Disability_2",#N/A,FALSE,"Trend Form";"Detail_2",#N/A,FALSE,"Trend Form"}</definedName>
    <definedName name="wrn.Draft_COBRA_1_2." localSheetId="28" hidden="1">{"Regular_1",#N/A,FALSE,"Trend Form";"Disability_1",#N/A,FALSE,"Trend Form";"Detail_1",#N/A,FALSE,"Trend Form";"Regular_2",#N/A,FALSE,"Trend Form";"Disability_2",#N/A,FALSE,"Trend Form";"Detail_2",#N/A,FALSE,"Trend Form"}</definedName>
    <definedName name="wrn.Draft_COBRA_1_2." localSheetId="30" hidden="1">{"Regular_1",#N/A,FALSE,"Trend Form";"Disability_1",#N/A,FALSE,"Trend Form";"Detail_1",#N/A,FALSE,"Trend Form";"Regular_2",#N/A,FALSE,"Trend Form";"Disability_2",#N/A,FALSE,"Trend Form";"Detail_2",#N/A,FALSE,"Trend Form"}</definedName>
    <definedName name="wrn.Draft_COBRA_1_2." localSheetId="32" hidden="1">{"Regular_1",#N/A,FALSE,"Trend Form";"Disability_1",#N/A,FALSE,"Trend Form";"Detail_1",#N/A,FALSE,"Trend Form";"Regular_2",#N/A,FALSE,"Trend Form";"Disability_2",#N/A,FALSE,"Trend Form";"Detail_2",#N/A,FALSE,"Trend Form"}</definedName>
    <definedName name="wrn.Draft_COBRA_1_2." localSheetId="34" hidden="1">{"Regular_1",#N/A,FALSE,"Trend Form";"Disability_1",#N/A,FALSE,"Trend Form";"Detail_1",#N/A,FALSE,"Trend Form";"Regular_2",#N/A,FALSE,"Trend Form";"Disability_2",#N/A,FALSE,"Trend Form";"Detail_2",#N/A,FALSE,"Trend Form"}</definedName>
    <definedName name="wrn.Draft_COBRA_1_2." localSheetId="36" hidden="1">{"Regular_1",#N/A,FALSE,"Trend Form";"Disability_1",#N/A,FALSE,"Trend Form";"Detail_1",#N/A,FALSE,"Trend Form";"Regular_2",#N/A,FALSE,"Trend Form";"Disability_2",#N/A,FALSE,"Trend Form";"Detail_2",#N/A,FALSE,"Trend Form"}</definedName>
    <definedName name="wrn.Draft_COBRA_1_2." localSheetId="38" hidden="1">{"Regular_1",#N/A,FALSE,"Trend Form";"Disability_1",#N/A,FALSE,"Trend Form";"Detail_1",#N/A,FALSE,"Trend Form";"Regular_2",#N/A,FALSE,"Trend Form";"Disability_2",#N/A,FALSE,"Trend Form";"Detail_2",#N/A,FALSE,"Trend Form"}</definedName>
    <definedName name="wrn.Draft_COBRA_1_2." localSheetId="40" hidden="1">{"Regular_1",#N/A,FALSE,"Trend Form";"Disability_1",#N/A,FALSE,"Trend Form";"Detail_1",#N/A,FALSE,"Trend Form";"Regular_2",#N/A,FALSE,"Trend Form";"Disability_2",#N/A,FALSE,"Trend Form";"Detail_2",#N/A,FALSE,"Trend Form"}</definedName>
    <definedName name="wrn.Draft_COBRA_1_2." localSheetId="8" hidden="1">{"Regular_1",#N/A,FALSE,"Trend Form";"Disability_1",#N/A,FALSE,"Trend Form";"Detail_1",#N/A,FALSE,"Trend Form";"Regular_2",#N/A,FALSE,"Trend Form";"Disability_2",#N/A,FALSE,"Trend Form";"Detail_2",#N/A,FALSE,"Trend Form"}</definedName>
    <definedName name="wrn.Draft_COBRA_1_2." localSheetId="42" hidden="1">{"Regular_1",#N/A,FALSE,"Trend Form";"Disability_1",#N/A,FALSE,"Trend Form";"Detail_1",#N/A,FALSE,"Trend Form";"Regular_2",#N/A,FALSE,"Trend Form";"Disability_2",#N/A,FALSE,"Trend Form";"Detail_2",#N/A,FALSE,"Trend Form"}</definedName>
    <definedName name="wrn.Draft_COBRA_1_2." localSheetId="44" hidden="1">{"Regular_1",#N/A,FALSE,"Trend Form";"Disability_1",#N/A,FALSE,"Trend Form";"Detail_1",#N/A,FALSE,"Trend Form";"Regular_2",#N/A,FALSE,"Trend Form";"Disability_2",#N/A,FALSE,"Trend Form";"Detail_2",#N/A,FALSE,"Trend Form"}</definedName>
    <definedName name="wrn.Draft_COBRA_1_2." localSheetId="10" hidden="1">{"Regular_1",#N/A,FALSE,"Trend Form";"Disability_1",#N/A,FALSE,"Trend Form";"Detail_1",#N/A,FALSE,"Trend Form";"Regular_2",#N/A,FALSE,"Trend Form";"Disability_2",#N/A,FALSE,"Trend Form";"Detail_2",#N/A,FALSE,"Trend Form"}</definedName>
    <definedName name="wrn.Draft_COBRA_1_2." localSheetId="12" hidden="1">{"Regular_1",#N/A,FALSE,"Trend Form";"Disability_1",#N/A,FALSE,"Trend Form";"Detail_1",#N/A,FALSE,"Trend Form";"Regular_2",#N/A,FALSE,"Trend Form";"Disability_2",#N/A,FALSE,"Trend Form";"Detail_2",#N/A,FALSE,"Trend Form"}</definedName>
    <definedName name="wrn.Draft_COBRA_1_2." localSheetId="14" hidden="1">{"Regular_1",#N/A,FALSE,"Trend Form";"Disability_1",#N/A,FALSE,"Trend Form";"Detail_1",#N/A,FALSE,"Trend Form";"Regular_2",#N/A,FALSE,"Trend Form";"Disability_2",#N/A,FALSE,"Trend Form";"Detail_2",#N/A,FALSE,"Trend Form"}</definedName>
    <definedName name="wrn.Draft_COBRA_1_2." localSheetId="16" hidden="1">{"Regular_1",#N/A,FALSE,"Trend Form";"Disability_1",#N/A,FALSE,"Trend Form";"Detail_1",#N/A,FALSE,"Trend Form";"Regular_2",#N/A,FALSE,"Trend Form";"Disability_2",#N/A,FALSE,"Trend Form";"Detail_2",#N/A,FALSE,"Trend Form"}</definedName>
    <definedName name="wrn.Draft_COBRA_1_2." localSheetId="18" hidden="1">{"Regular_1",#N/A,FALSE,"Trend Form";"Disability_1",#N/A,FALSE,"Trend Form";"Detail_1",#N/A,FALSE,"Trend Form";"Regular_2",#N/A,FALSE,"Trend Form";"Disability_2",#N/A,FALSE,"Trend Form";"Detail_2",#N/A,FALSE,"Trend Form"}</definedName>
    <definedName name="wrn.Draft_COBRA_1_2." localSheetId="20" hidden="1">{"Regular_1",#N/A,FALSE,"Trend Form";"Disability_1",#N/A,FALSE,"Trend Form";"Detail_1",#N/A,FALSE,"Trend Form";"Regular_2",#N/A,FALSE,"Trend Form";"Disability_2",#N/A,FALSE,"Trend Form";"Detail_2",#N/A,FALSE,"Trend Form"}</definedName>
    <definedName name="wrn.Draft_COBRA_1_2." localSheetId="21" hidden="1">{"Regular_1",#N/A,FALSE,"Trend Form";"Disability_1",#N/A,FALSE,"Trend Form";"Detail_1",#N/A,FALSE,"Trend Form";"Regular_2",#N/A,FALSE,"Trend Form";"Disability_2",#N/A,FALSE,"Trend Form";"Detail_2",#N/A,FALSE,"Trend Form"}</definedName>
    <definedName name="wrn.Draft_COBRA_1_2." localSheetId="23" hidden="1">{"Regular_1",#N/A,FALSE,"Trend Form";"Disability_1",#N/A,FALSE,"Trend Form";"Detail_1",#N/A,FALSE,"Trend Form";"Regular_2",#N/A,FALSE,"Trend Form";"Disability_2",#N/A,FALSE,"Trend Form";"Detail_2",#N/A,FALSE,"Trend Form"}</definedName>
    <definedName name="wrn.Draft_COBRA_1_2." localSheetId="25" hidden="1">{"Regular_1",#N/A,FALSE,"Trend Form";"Disability_1",#N/A,FALSE,"Trend Form";"Detail_1",#N/A,FALSE,"Trend Form";"Regular_2",#N/A,FALSE,"Trend Form";"Disability_2",#N/A,FALSE,"Trend Form";"Detail_2",#N/A,FALSE,"Trend Form"}</definedName>
    <definedName name="wrn.Draft_COBRA_1_2." localSheetId="27" hidden="1">{"Regular_1",#N/A,FALSE,"Trend Form";"Disability_1",#N/A,FALSE,"Trend Form";"Detail_1",#N/A,FALSE,"Trend Form";"Regular_2",#N/A,FALSE,"Trend Form";"Disability_2",#N/A,FALSE,"Trend Form";"Detail_2",#N/A,FALSE,"Trend Form"}</definedName>
    <definedName name="wrn.Draft_COBRA_1_2." localSheetId="29" hidden="1">{"Regular_1",#N/A,FALSE,"Trend Form";"Disability_1",#N/A,FALSE,"Trend Form";"Detail_1",#N/A,FALSE,"Trend Form";"Regular_2",#N/A,FALSE,"Trend Form";"Disability_2",#N/A,FALSE,"Trend Form";"Detail_2",#N/A,FALSE,"Trend Form"}</definedName>
    <definedName name="wrn.Draft_COBRA_1_2." localSheetId="31" hidden="1">{"Regular_1",#N/A,FALSE,"Trend Form";"Disability_1",#N/A,FALSE,"Trend Form";"Detail_1",#N/A,FALSE,"Trend Form";"Regular_2",#N/A,FALSE,"Trend Form";"Disability_2",#N/A,FALSE,"Trend Form";"Detail_2",#N/A,FALSE,"Trend Form"}</definedName>
    <definedName name="wrn.Draft_COBRA_1_2." localSheetId="33" hidden="1">{"Regular_1",#N/A,FALSE,"Trend Form";"Disability_1",#N/A,FALSE,"Trend Form";"Detail_1",#N/A,FALSE,"Trend Form";"Regular_2",#N/A,FALSE,"Trend Form";"Disability_2",#N/A,FALSE,"Trend Form";"Detail_2",#N/A,FALSE,"Trend Form"}</definedName>
    <definedName name="wrn.Draft_COBRA_1_2." localSheetId="35" hidden="1">{"Regular_1",#N/A,FALSE,"Trend Form";"Disability_1",#N/A,FALSE,"Trend Form";"Detail_1",#N/A,FALSE,"Trend Form";"Regular_2",#N/A,FALSE,"Trend Form";"Disability_2",#N/A,FALSE,"Trend Form";"Detail_2",#N/A,FALSE,"Trend Form"}</definedName>
    <definedName name="wrn.Draft_COBRA_1_2." localSheetId="37" hidden="1">{"Regular_1",#N/A,FALSE,"Trend Form";"Disability_1",#N/A,FALSE,"Trend Form";"Detail_1",#N/A,FALSE,"Trend Form";"Regular_2",#N/A,FALSE,"Trend Form";"Disability_2",#N/A,FALSE,"Trend Form";"Detail_2",#N/A,FALSE,"Trend Form"}</definedName>
    <definedName name="wrn.Draft_COBRA_1_2." localSheetId="39" hidden="1">{"Regular_1",#N/A,FALSE,"Trend Form";"Disability_1",#N/A,FALSE,"Trend Form";"Detail_1",#N/A,FALSE,"Trend Form";"Regular_2",#N/A,FALSE,"Trend Form";"Disability_2",#N/A,FALSE,"Trend Form";"Detail_2",#N/A,FALSE,"Trend Form"}</definedName>
    <definedName name="wrn.Draft_COBRA_1_2." localSheetId="7" hidden="1">{"Regular_1",#N/A,FALSE,"Trend Form";"Disability_1",#N/A,FALSE,"Trend Form";"Detail_1",#N/A,FALSE,"Trend Form";"Regular_2",#N/A,FALSE,"Trend Form";"Disability_2",#N/A,FALSE,"Trend Form";"Detail_2",#N/A,FALSE,"Trend Form"}</definedName>
    <definedName name="wrn.Draft_COBRA_1_2." localSheetId="41" hidden="1">{"Regular_1",#N/A,FALSE,"Trend Form";"Disability_1",#N/A,FALSE,"Trend Form";"Detail_1",#N/A,FALSE,"Trend Form";"Regular_2",#N/A,FALSE,"Trend Form";"Disability_2",#N/A,FALSE,"Trend Form";"Detail_2",#N/A,FALSE,"Trend Form"}</definedName>
    <definedName name="wrn.Draft_COBRA_1_2." localSheetId="43" hidden="1">{"Regular_1",#N/A,FALSE,"Trend Form";"Disability_1",#N/A,FALSE,"Trend Form";"Detail_1",#N/A,FALSE,"Trend Form";"Regular_2",#N/A,FALSE,"Trend Form";"Disability_2",#N/A,FALSE,"Trend Form";"Detail_2",#N/A,FALSE,"Trend Form"}</definedName>
    <definedName name="wrn.Draft_COBRA_1_2." localSheetId="9" hidden="1">{"Regular_1",#N/A,FALSE,"Trend Form";"Disability_1",#N/A,FALSE,"Trend Form";"Detail_1",#N/A,FALSE,"Trend Form";"Regular_2",#N/A,FALSE,"Trend Form";"Disability_2",#N/A,FALSE,"Trend Form";"Detail_2",#N/A,FALSE,"Trend Form"}</definedName>
    <definedName name="wrn.Draft_COBRA_1_2." localSheetId="11" hidden="1">{"Regular_1",#N/A,FALSE,"Trend Form";"Disability_1",#N/A,FALSE,"Trend Form";"Detail_1",#N/A,FALSE,"Trend Form";"Regular_2",#N/A,FALSE,"Trend Form";"Disability_2",#N/A,FALSE,"Trend Form";"Detail_2",#N/A,FALSE,"Trend Form"}</definedName>
    <definedName name="wrn.Draft_COBRA_1_2." localSheetId="13" hidden="1">{"Regular_1",#N/A,FALSE,"Trend Form";"Disability_1",#N/A,FALSE,"Trend Form";"Detail_1",#N/A,FALSE,"Trend Form";"Regular_2",#N/A,FALSE,"Trend Form";"Disability_2",#N/A,FALSE,"Trend Form";"Detail_2",#N/A,FALSE,"Trend Form"}</definedName>
    <definedName name="wrn.Draft_COBRA_1_2." localSheetId="15" hidden="1">{"Regular_1",#N/A,FALSE,"Trend Form";"Disability_1",#N/A,FALSE,"Trend Form";"Detail_1",#N/A,FALSE,"Trend Form";"Regular_2",#N/A,FALSE,"Trend Form";"Disability_2",#N/A,FALSE,"Trend Form";"Detail_2",#N/A,FALSE,"Trend Form"}</definedName>
    <definedName name="wrn.Draft_COBRA_1_2." localSheetId="17" hidden="1">{"Regular_1",#N/A,FALSE,"Trend Form";"Disability_1",#N/A,FALSE,"Trend Form";"Detail_1",#N/A,FALSE,"Trend Form";"Regular_2",#N/A,FALSE,"Trend Form";"Disability_2",#N/A,FALSE,"Trend Form";"Detail_2",#N/A,FALSE,"Trend Form"}</definedName>
    <definedName name="wrn.Draft_COBRA_1_2." localSheetId="19" hidden="1">{"Regular_1",#N/A,FALSE,"Trend Form";"Disability_1",#N/A,FALSE,"Trend Form";"Detail_1",#N/A,FALSE,"Trend Form";"Regular_2",#N/A,FALSE,"Trend Form";"Disability_2",#N/A,FALSE,"Trend Form";"Detail_2",#N/A,FALSE,"Trend Form"}</definedName>
    <definedName name="wrn.Draft_COBRA_1_2." localSheetId="65" hidden="1">{"Regular_1",#N/A,FALSE,"Trend Form";"Disability_1",#N/A,FALSE,"Trend Form";"Detail_1",#N/A,FALSE,"Trend Form";"Regular_2",#N/A,FALSE,"Trend Form";"Disability_2",#N/A,FALSE,"Trend Form";"Detail_2",#N/A,FALSE,"Trend Form"}</definedName>
    <definedName name="wrn.Draft_COBRA_1_2." localSheetId="67" hidden="1">{"Regular_1",#N/A,FALSE,"Trend Form";"Disability_1",#N/A,FALSE,"Trend Form";"Detail_1",#N/A,FALSE,"Trend Form";"Regular_2",#N/A,FALSE,"Trend Form";"Disability_2",#N/A,FALSE,"Trend Form";"Detail_2",#N/A,FALSE,"Trend Form"}</definedName>
    <definedName name="wrn.Draft_COBRA_1_2." localSheetId="69" hidden="1">{"Regular_1",#N/A,FALSE,"Trend Form";"Disability_1",#N/A,FALSE,"Trend Form";"Detail_1",#N/A,FALSE,"Trend Form";"Regular_2",#N/A,FALSE,"Trend Form";"Disability_2",#N/A,FALSE,"Trend Form";"Detail_2",#N/A,FALSE,"Trend Form"}</definedName>
    <definedName name="wrn.Draft_COBRA_1_2." localSheetId="71" hidden="1">{"Regular_1",#N/A,FALSE,"Trend Form";"Disability_1",#N/A,FALSE,"Trend Form";"Detail_1",#N/A,FALSE,"Trend Form";"Regular_2",#N/A,FALSE,"Trend Form";"Disability_2",#N/A,FALSE,"Trend Form";"Detail_2",#N/A,FALSE,"Trend Form"}</definedName>
    <definedName name="wrn.Draft_COBRA_1_2." localSheetId="73" hidden="1">{"Regular_1",#N/A,FALSE,"Trend Form";"Disability_1",#N/A,FALSE,"Trend Form";"Detail_1",#N/A,FALSE,"Trend Form";"Regular_2",#N/A,FALSE,"Trend Form";"Disability_2",#N/A,FALSE,"Trend Form";"Detail_2",#N/A,FALSE,"Trend Form"}</definedName>
    <definedName name="wrn.Draft_COBRA_1_2." localSheetId="75" hidden="1">{"Regular_1",#N/A,FALSE,"Trend Form";"Disability_1",#N/A,FALSE,"Trend Form";"Detail_1",#N/A,FALSE,"Trend Form";"Regular_2",#N/A,FALSE,"Trend Form";"Disability_2",#N/A,FALSE,"Trend Form";"Detail_2",#N/A,FALSE,"Trend Form"}</definedName>
    <definedName name="wrn.Draft_COBRA_1_2." localSheetId="77" hidden="1">{"Regular_1",#N/A,FALSE,"Trend Form";"Disability_1",#N/A,FALSE,"Trend Form";"Detail_1",#N/A,FALSE,"Trend Form";"Regular_2",#N/A,FALSE,"Trend Form";"Disability_2",#N/A,FALSE,"Trend Form";"Detail_2",#N/A,FALSE,"Trend Form"}</definedName>
    <definedName name="wrn.Draft_COBRA_1_2." localSheetId="79" hidden="1">{"Regular_1",#N/A,FALSE,"Trend Form";"Disability_1",#N/A,FALSE,"Trend Form";"Detail_1",#N/A,FALSE,"Trend Form";"Regular_2",#N/A,FALSE,"Trend Form";"Disability_2",#N/A,FALSE,"Trend Form";"Detail_2",#N/A,FALSE,"Trend Form"}</definedName>
    <definedName name="wrn.Draft_COBRA_1_2." localSheetId="81" hidden="1">{"Regular_1",#N/A,FALSE,"Trend Form";"Disability_1",#N/A,FALSE,"Trend Form";"Detail_1",#N/A,FALSE,"Trend Form";"Regular_2",#N/A,FALSE,"Trend Form";"Disability_2",#N/A,FALSE,"Trend Form";"Detail_2",#N/A,FALSE,"Trend Form"}</definedName>
    <definedName name="wrn.Draft_COBRA_1_2." localSheetId="49" hidden="1">{"Regular_1",#N/A,FALSE,"Trend Form";"Disability_1",#N/A,FALSE,"Trend Form";"Detail_1",#N/A,FALSE,"Trend Form";"Regular_2",#N/A,FALSE,"Trend Form";"Disability_2",#N/A,FALSE,"Trend Form";"Detail_2",#N/A,FALSE,"Trend Form"}</definedName>
    <definedName name="wrn.Draft_COBRA_1_2." localSheetId="51" hidden="1">{"Regular_1",#N/A,FALSE,"Trend Form";"Disability_1",#N/A,FALSE,"Trend Form";"Detail_1",#N/A,FALSE,"Trend Form";"Regular_2",#N/A,FALSE,"Trend Form";"Disability_2",#N/A,FALSE,"Trend Form";"Detail_2",#N/A,FALSE,"Trend Form"}</definedName>
    <definedName name="wrn.Draft_COBRA_1_2." localSheetId="53" hidden="1">{"Regular_1",#N/A,FALSE,"Trend Form";"Disability_1",#N/A,FALSE,"Trend Form";"Detail_1",#N/A,FALSE,"Trend Form";"Regular_2",#N/A,FALSE,"Trend Form";"Disability_2",#N/A,FALSE,"Trend Form";"Detail_2",#N/A,FALSE,"Trend Form"}</definedName>
    <definedName name="wrn.Draft_COBRA_1_2." localSheetId="55" hidden="1">{"Regular_1",#N/A,FALSE,"Trend Form";"Disability_1",#N/A,FALSE,"Trend Form";"Detail_1",#N/A,FALSE,"Trend Form";"Regular_2",#N/A,FALSE,"Trend Form";"Disability_2",#N/A,FALSE,"Trend Form";"Detail_2",#N/A,FALSE,"Trend Form"}</definedName>
    <definedName name="wrn.Draft_COBRA_1_2." localSheetId="57" hidden="1">{"Regular_1",#N/A,FALSE,"Trend Form";"Disability_1",#N/A,FALSE,"Trend Form";"Detail_1",#N/A,FALSE,"Trend Form";"Regular_2",#N/A,FALSE,"Trend Form";"Disability_2",#N/A,FALSE,"Trend Form";"Detail_2",#N/A,FALSE,"Trend Form"}</definedName>
    <definedName name="wrn.Draft_COBRA_1_2." localSheetId="59" hidden="1">{"Regular_1",#N/A,FALSE,"Trend Form";"Disability_1",#N/A,FALSE,"Trend Form";"Detail_1",#N/A,FALSE,"Trend Form";"Regular_2",#N/A,FALSE,"Trend Form";"Disability_2",#N/A,FALSE,"Trend Form";"Detail_2",#N/A,FALSE,"Trend Form"}</definedName>
    <definedName name="wrn.Draft_COBRA_1_2." localSheetId="61" hidden="1">{"Regular_1",#N/A,FALSE,"Trend Form";"Disability_1",#N/A,FALSE,"Trend Form";"Detail_1",#N/A,FALSE,"Trend Form";"Regular_2",#N/A,FALSE,"Trend Form";"Disability_2",#N/A,FALSE,"Trend Form";"Detail_2",#N/A,FALSE,"Trend Form"}</definedName>
    <definedName name="wrn.Draft_COBRA_1_2." localSheetId="63" hidden="1">{"Regular_1",#N/A,FALSE,"Trend Form";"Disability_1",#N/A,FALSE,"Trend Form";"Detail_1",#N/A,FALSE,"Trend Form";"Regular_2",#N/A,FALSE,"Trend Form";"Disability_2",#N/A,FALSE,"Trend Form";"Detail_2",#N/A,FALSE,"Trend Form"}</definedName>
    <definedName name="wrn.Draft_COBRA_1_2." localSheetId="64" hidden="1">{"Regular_1",#N/A,FALSE,"Trend Form";"Disability_1",#N/A,FALSE,"Trend Form";"Detail_1",#N/A,FALSE,"Trend Form";"Regular_2",#N/A,FALSE,"Trend Form";"Disability_2",#N/A,FALSE,"Trend Form";"Detail_2",#N/A,FALSE,"Trend Form"}</definedName>
    <definedName name="wrn.Draft_COBRA_1_2." localSheetId="66" hidden="1">{"Regular_1",#N/A,FALSE,"Trend Form";"Disability_1",#N/A,FALSE,"Trend Form";"Detail_1",#N/A,FALSE,"Trend Form";"Regular_2",#N/A,FALSE,"Trend Form";"Disability_2",#N/A,FALSE,"Trend Form";"Detail_2",#N/A,FALSE,"Trend Form"}</definedName>
    <definedName name="wrn.Draft_COBRA_1_2." localSheetId="68" hidden="1">{"Regular_1",#N/A,FALSE,"Trend Form";"Disability_1",#N/A,FALSE,"Trend Form";"Detail_1",#N/A,FALSE,"Trend Form";"Regular_2",#N/A,FALSE,"Trend Form";"Disability_2",#N/A,FALSE,"Trend Form";"Detail_2",#N/A,FALSE,"Trend Form"}</definedName>
    <definedName name="wrn.Draft_COBRA_1_2." localSheetId="70" hidden="1">{"Regular_1",#N/A,FALSE,"Trend Form";"Disability_1",#N/A,FALSE,"Trend Form";"Detail_1",#N/A,FALSE,"Trend Form";"Regular_2",#N/A,FALSE,"Trend Form";"Disability_2",#N/A,FALSE,"Trend Form";"Detail_2",#N/A,FALSE,"Trend Form"}</definedName>
    <definedName name="wrn.Draft_COBRA_1_2." localSheetId="72" hidden="1">{"Regular_1",#N/A,FALSE,"Trend Form";"Disability_1",#N/A,FALSE,"Trend Form";"Detail_1",#N/A,FALSE,"Trend Form";"Regular_2",#N/A,FALSE,"Trend Form";"Disability_2",#N/A,FALSE,"Trend Form";"Detail_2",#N/A,FALSE,"Trend Form"}</definedName>
    <definedName name="wrn.Draft_COBRA_1_2." localSheetId="74" hidden="1">{"Regular_1",#N/A,FALSE,"Trend Form";"Disability_1",#N/A,FALSE,"Trend Form";"Detail_1",#N/A,FALSE,"Trend Form";"Regular_2",#N/A,FALSE,"Trend Form";"Disability_2",#N/A,FALSE,"Trend Form";"Detail_2",#N/A,FALSE,"Trend Form"}</definedName>
    <definedName name="wrn.Draft_COBRA_1_2." localSheetId="76" hidden="1">{"Regular_1",#N/A,FALSE,"Trend Form";"Disability_1",#N/A,FALSE,"Trend Form";"Detail_1",#N/A,FALSE,"Trend Form";"Regular_2",#N/A,FALSE,"Trend Form";"Disability_2",#N/A,FALSE,"Trend Form";"Detail_2",#N/A,FALSE,"Trend Form"}</definedName>
    <definedName name="wrn.Draft_COBRA_1_2." localSheetId="78" hidden="1">{"Regular_1",#N/A,FALSE,"Trend Form";"Disability_1",#N/A,FALSE,"Trend Form";"Detail_1",#N/A,FALSE,"Trend Form";"Regular_2",#N/A,FALSE,"Trend Form";"Disability_2",#N/A,FALSE,"Trend Form";"Detail_2",#N/A,FALSE,"Trend Form"}</definedName>
    <definedName name="wrn.Draft_COBRA_1_2." localSheetId="80" hidden="1">{"Regular_1",#N/A,FALSE,"Trend Form";"Disability_1",#N/A,FALSE,"Trend Form";"Detail_1",#N/A,FALSE,"Trend Form";"Regular_2",#N/A,FALSE,"Trend Form";"Disability_2",#N/A,FALSE,"Trend Form";"Detail_2",#N/A,FALSE,"Trend Form"}</definedName>
    <definedName name="wrn.Draft_COBRA_1_2." localSheetId="48" hidden="1">{"Regular_1",#N/A,FALSE,"Trend Form";"Disability_1",#N/A,FALSE,"Trend Form";"Detail_1",#N/A,FALSE,"Trend Form";"Regular_2",#N/A,FALSE,"Trend Form";"Disability_2",#N/A,FALSE,"Trend Form";"Detail_2",#N/A,FALSE,"Trend Form"}</definedName>
    <definedName name="wrn.Draft_COBRA_1_2." localSheetId="50" hidden="1">{"Regular_1",#N/A,FALSE,"Trend Form";"Disability_1",#N/A,FALSE,"Trend Form";"Detail_1",#N/A,FALSE,"Trend Form";"Regular_2",#N/A,FALSE,"Trend Form";"Disability_2",#N/A,FALSE,"Trend Form";"Detail_2",#N/A,FALSE,"Trend Form"}</definedName>
    <definedName name="wrn.Draft_COBRA_1_2." localSheetId="52" hidden="1">{"Regular_1",#N/A,FALSE,"Trend Form";"Disability_1",#N/A,FALSE,"Trend Form";"Detail_1",#N/A,FALSE,"Trend Form";"Regular_2",#N/A,FALSE,"Trend Form";"Disability_2",#N/A,FALSE,"Trend Form";"Detail_2",#N/A,FALSE,"Trend Form"}</definedName>
    <definedName name="wrn.Draft_COBRA_1_2." localSheetId="54" hidden="1">{"Regular_1",#N/A,FALSE,"Trend Form";"Disability_1",#N/A,FALSE,"Trend Form";"Detail_1",#N/A,FALSE,"Trend Form";"Regular_2",#N/A,FALSE,"Trend Form";"Disability_2",#N/A,FALSE,"Trend Form";"Detail_2",#N/A,FALSE,"Trend Form"}</definedName>
    <definedName name="wrn.Draft_COBRA_1_2." localSheetId="56" hidden="1">{"Regular_1",#N/A,FALSE,"Trend Form";"Disability_1",#N/A,FALSE,"Trend Form";"Detail_1",#N/A,FALSE,"Trend Form";"Regular_2",#N/A,FALSE,"Trend Form";"Disability_2",#N/A,FALSE,"Trend Form";"Detail_2",#N/A,FALSE,"Trend Form"}</definedName>
    <definedName name="wrn.Draft_COBRA_1_2." localSheetId="58" hidden="1">{"Regular_1",#N/A,FALSE,"Trend Form";"Disability_1",#N/A,FALSE,"Trend Form";"Detail_1",#N/A,FALSE,"Trend Form";"Regular_2",#N/A,FALSE,"Trend Form";"Disability_2",#N/A,FALSE,"Trend Form";"Detail_2",#N/A,FALSE,"Trend Form"}</definedName>
    <definedName name="wrn.Draft_COBRA_1_2." localSheetId="60" hidden="1">{"Regular_1",#N/A,FALSE,"Trend Form";"Disability_1",#N/A,FALSE,"Trend Form";"Detail_1",#N/A,FALSE,"Trend Form";"Regular_2",#N/A,FALSE,"Trend Form";"Disability_2",#N/A,FALSE,"Trend Form";"Detail_2",#N/A,FALSE,"Trend Form"}</definedName>
    <definedName name="wrn.Draft_COBRA_1_2." localSheetId="62" hidden="1">{"Regular_1",#N/A,FALSE,"Trend Form";"Disability_1",#N/A,FALSE,"Trend Form";"Detail_1",#N/A,FALSE,"Trend Form";"Regular_2",#N/A,FALSE,"Trend Form";"Disability_2",#N/A,FALSE,"Trend Form";"Detail_2",#N/A,FALSE,"Trend Form"}</definedName>
    <definedName name="wrn.Draft_COBRA_1_2." localSheetId="92" hidden="1">{"Regular_1",#N/A,FALSE,"Trend Form";"Disability_1",#N/A,FALSE,"Trend Form";"Detail_1",#N/A,FALSE,"Trend Form";"Regular_2",#N/A,FALSE,"Trend Form";"Disability_2",#N/A,FALSE,"Trend Form";"Detail_2",#N/A,FALSE,"Trend Form"}</definedName>
    <definedName name="wrn.Draft_COBRA_1_2." localSheetId="86" hidden="1">{"Regular_1",#N/A,FALSE,"Trend Form";"Disability_1",#N/A,FALSE,"Trend Form";"Detail_1",#N/A,FALSE,"Trend Form";"Regular_2",#N/A,FALSE,"Trend Form";"Disability_2",#N/A,FALSE,"Trend Form";"Detail_2",#N/A,FALSE,"Trend Form"}</definedName>
    <definedName name="wrn.Draft_COBRA_1_2." localSheetId="88" hidden="1">{"Regular_1",#N/A,FALSE,"Trend Form";"Disability_1",#N/A,FALSE,"Trend Form";"Detail_1",#N/A,FALSE,"Trend Form";"Regular_2",#N/A,FALSE,"Trend Form";"Disability_2",#N/A,FALSE,"Trend Form";"Detail_2",#N/A,FALSE,"Trend Form"}</definedName>
    <definedName name="wrn.Draft_COBRA_1_2." localSheetId="90" hidden="1">{"Regular_1",#N/A,FALSE,"Trend Form";"Disability_1",#N/A,FALSE,"Trend Form";"Detail_1",#N/A,FALSE,"Trend Form";"Regular_2",#N/A,FALSE,"Trend Form";"Disability_2",#N/A,FALSE,"Trend Form";"Detail_2",#N/A,FALSE,"Trend Form"}</definedName>
    <definedName name="wrn.Draft_COBRA_1_2." localSheetId="91" hidden="1">{"Regular_1",#N/A,FALSE,"Trend Form";"Disability_1",#N/A,FALSE,"Trend Form";"Detail_1",#N/A,FALSE,"Trend Form";"Regular_2",#N/A,FALSE,"Trend Form";"Disability_2",#N/A,FALSE,"Trend Form";"Detail_2",#N/A,FALSE,"Trend Form"}</definedName>
    <definedName name="wrn.Draft_COBRA_1_2." localSheetId="85" hidden="1">{"Regular_1",#N/A,FALSE,"Trend Form";"Disability_1",#N/A,FALSE,"Trend Form";"Detail_1",#N/A,FALSE,"Trend Form";"Regular_2",#N/A,FALSE,"Trend Form";"Disability_2",#N/A,FALSE,"Trend Form";"Detail_2",#N/A,FALSE,"Trend Form"}</definedName>
    <definedName name="wrn.Draft_COBRA_1_2." localSheetId="87" hidden="1">{"Regular_1",#N/A,FALSE,"Trend Form";"Disability_1",#N/A,FALSE,"Trend Form";"Detail_1",#N/A,FALSE,"Trend Form";"Regular_2",#N/A,FALSE,"Trend Form";"Disability_2",#N/A,FALSE,"Trend Form";"Detail_2",#N/A,FALSE,"Trend Form"}</definedName>
    <definedName name="wrn.Draft_COBRA_1_2." localSheetId="89" hidden="1">{"Regular_1",#N/A,FALSE,"Trend Form";"Disability_1",#N/A,FALSE,"Trend Form";"Detail_1",#N/A,FALSE,"Trend Form";"Regular_2",#N/A,FALSE,"Trend Form";"Disability_2",#N/A,FALSE,"Trend Form";"Detail_2",#N/A,FALSE,"Trend Form"}</definedName>
    <definedName name="wrn.Draft_COBRA_1_2." hidden="1">{"Regular_1",#N/A,FALSE,"Trend Form";"Disability_1",#N/A,FALSE,"Trend Form";"Detail_1",#N/A,FALSE,"Trend Form";"Regular_2",#N/A,FALSE,"Trend Form";"Disability_2",#N/A,FALSE,"Trend Form";"Detail_2",#N/A,FALSE,"Trend Form"}</definedName>
    <definedName name="wrn.Draft_COBRA_1_2_3." localSheetId="2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9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9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9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_4." localSheetId="2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9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9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9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Report." localSheetId="2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9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9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9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_All." localSheetId="2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9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9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9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Self." localSheetId="22" hidden="1">{"Self_Summary",#N/A,FALSE,"Trend Form";"Self_Detail_1",#N/A,FALSE,"Trend Form";"Self_Detail_2",#N/A,FALSE,"Trend Form";"Self_Detail_3",#N/A,FALSE,"Trend Form"}</definedName>
    <definedName name="wrn.Draft_Self." localSheetId="24" hidden="1">{"Self_Summary",#N/A,FALSE,"Trend Form";"Self_Detail_1",#N/A,FALSE,"Trend Form";"Self_Detail_2",#N/A,FALSE,"Trend Form";"Self_Detail_3",#N/A,FALSE,"Trend Form"}</definedName>
    <definedName name="wrn.Draft_Self." localSheetId="26" hidden="1">{"Self_Summary",#N/A,FALSE,"Trend Form";"Self_Detail_1",#N/A,FALSE,"Trend Form";"Self_Detail_2",#N/A,FALSE,"Trend Form";"Self_Detail_3",#N/A,FALSE,"Trend Form"}</definedName>
    <definedName name="wrn.Draft_Self." localSheetId="28" hidden="1">{"Self_Summary",#N/A,FALSE,"Trend Form";"Self_Detail_1",#N/A,FALSE,"Trend Form";"Self_Detail_2",#N/A,FALSE,"Trend Form";"Self_Detail_3",#N/A,FALSE,"Trend Form"}</definedName>
    <definedName name="wrn.Draft_Self." localSheetId="30" hidden="1">{"Self_Summary",#N/A,FALSE,"Trend Form";"Self_Detail_1",#N/A,FALSE,"Trend Form";"Self_Detail_2",#N/A,FALSE,"Trend Form";"Self_Detail_3",#N/A,FALSE,"Trend Form"}</definedName>
    <definedName name="wrn.Draft_Self." localSheetId="32" hidden="1">{"Self_Summary",#N/A,FALSE,"Trend Form";"Self_Detail_1",#N/A,FALSE,"Trend Form";"Self_Detail_2",#N/A,FALSE,"Trend Form";"Self_Detail_3",#N/A,FALSE,"Trend Form"}</definedName>
    <definedName name="wrn.Draft_Self." localSheetId="34" hidden="1">{"Self_Summary",#N/A,FALSE,"Trend Form";"Self_Detail_1",#N/A,FALSE,"Trend Form";"Self_Detail_2",#N/A,FALSE,"Trend Form";"Self_Detail_3",#N/A,FALSE,"Trend Form"}</definedName>
    <definedName name="wrn.Draft_Self." localSheetId="36" hidden="1">{"Self_Summary",#N/A,FALSE,"Trend Form";"Self_Detail_1",#N/A,FALSE,"Trend Form";"Self_Detail_2",#N/A,FALSE,"Trend Form";"Self_Detail_3",#N/A,FALSE,"Trend Form"}</definedName>
    <definedName name="wrn.Draft_Self." localSheetId="38" hidden="1">{"Self_Summary",#N/A,FALSE,"Trend Form";"Self_Detail_1",#N/A,FALSE,"Trend Form";"Self_Detail_2",#N/A,FALSE,"Trend Form";"Self_Detail_3",#N/A,FALSE,"Trend Form"}</definedName>
    <definedName name="wrn.Draft_Self." localSheetId="40" hidden="1">{"Self_Summary",#N/A,FALSE,"Trend Form";"Self_Detail_1",#N/A,FALSE,"Trend Form";"Self_Detail_2",#N/A,FALSE,"Trend Form";"Self_Detail_3",#N/A,FALSE,"Trend Form"}</definedName>
    <definedName name="wrn.Draft_Self." localSheetId="8" hidden="1">{"Self_Summary",#N/A,FALSE,"Trend Form";"Self_Detail_1",#N/A,FALSE,"Trend Form";"Self_Detail_2",#N/A,FALSE,"Trend Form";"Self_Detail_3",#N/A,FALSE,"Trend Form"}</definedName>
    <definedName name="wrn.Draft_Self." localSheetId="42" hidden="1">{"Self_Summary",#N/A,FALSE,"Trend Form";"Self_Detail_1",#N/A,FALSE,"Trend Form";"Self_Detail_2",#N/A,FALSE,"Trend Form";"Self_Detail_3",#N/A,FALSE,"Trend Form"}</definedName>
    <definedName name="wrn.Draft_Self." localSheetId="44" hidden="1">{"Self_Summary",#N/A,FALSE,"Trend Form";"Self_Detail_1",#N/A,FALSE,"Trend Form";"Self_Detail_2",#N/A,FALSE,"Trend Form";"Self_Detail_3",#N/A,FALSE,"Trend Form"}</definedName>
    <definedName name="wrn.Draft_Self." localSheetId="10" hidden="1">{"Self_Summary",#N/A,FALSE,"Trend Form";"Self_Detail_1",#N/A,FALSE,"Trend Form";"Self_Detail_2",#N/A,FALSE,"Trend Form";"Self_Detail_3",#N/A,FALSE,"Trend Form"}</definedName>
    <definedName name="wrn.Draft_Self." localSheetId="12" hidden="1">{"Self_Summary",#N/A,FALSE,"Trend Form";"Self_Detail_1",#N/A,FALSE,"Trend Form";"Self_Detail_2",#N/A,FALSE,"Trend Form";"Self_Detail_3",#N/A,FALSE,"Trend Form"}</definedName>
    <definedName name="wrn.Draft_Self." localSheetId="14" hidden="1">{"Self_Summary",#N/A,FALSE,"Trend Form";"Self_Detail_1",#N/A,FALSE,"Trend Form";"Self_Detail_2",#N/A,FALSE,"Trend Form";"Self_Detail_3",#N/A,FALSE,"Trend Form"}</definedName>
    <definedName name="wrn.Draft_Self." localSheetId="16" hidden="1">{"Self_Summary",#N/A,FALSE,"Trend Form";"Self_Detail_1",#N/A,FALSE,"Trend Form";"Self_Detail_2",#N/A,FALSE,"Trend Form";"Self_Detail_3",#N/A,FALSE,"Trend Form"}</definedName>
    <definedName name="wrn.Draft_Self." localSheetId="18" hidden="1">{"Self_Summary",#N/A,FALSE,"Trend Form";"Self_Detail_1",#N/A,FALSE,"Trend Form";"Self_Detail_2",#N/A,FALSE,"Trend Form";"Self_Detail_3",#N/A,FALSE,"Trend Form"}</definedName>
    <definedName name="wrn.Draft_Self." localSheetId="20" hidden="1">{"Self_Summary",#N/A,FALSE,"Trend Form";"Self_Detail_1",#N/A,FALSE,"Trend Form";"Self_Detail_2",#N/A,FALSE,"Trend Form";"Self_Detail_3",#N/A,FALSE,"Trend Form"}</definedName>
    <definedName name="wrn.Draft_Self." localSheetId="21" hidden="1">{"Self_Summary",#N/A,FALSE,"Trend Form";"Self_Detail_1",#N/A,FALSE,"Trend Form";"Self_Detail_2",#N/A,FALSE,"Trend Form";"Self_Detail_3",#N/A,FALSE,"Trend Form"}</definedName>
    <definedName name="wrn.Draft_Self." localSheetId="23" hidden="1">{"Self_Summary",#N/A,FALSE,"Trend Form";"Self_Detail_1",#N/A,FALSE,"Trend Form";"Self_Detail_2",#N/A,FALSE,"Trend Form";"Self_Detail_3",#N/A,FALSE,"Trend Form"}</definedName>
    <definedName name="wrn.Draft_Self." localSheetId="25" hidden="1">{"Self_Summary",#N/A,FALSE,"Trend Form";"Self_Detail_1",#N/A,FALSE,"Trend Form";"Self_Detail_2",#N/A,FALSE,"Trend Form";"Self_Detail_3",#N/A,FALSE,"Trend Form"}</definedName>
    <definedName name="wrn.Draft_Self." localSheetId="27" hidden="1">{"Self_Summary",#N/A,FALSE,"Trend Form";"Self_Detail_1",#N/A,FALSE,"Trend Form";"Self_Detail_2",#N/A,FALSE,"Trend Form";"Self_Detail_3",#N/A,FALSE,"Trend Form"}</definedName>
    <definedName name="wrn.Draft_Self." localSheetId="29" hidden="1">{"Self_Summary",#N/A,FALSE,"Trend Form";"Self_Detail_1",#N/A,FALSE,"Trend Form";"Self_Detail_2",#N/A,FALSE,"Trend Form";"Self_Detail_3",#N/A,FALSE,"Trend Form"}</definedName>
    <definedName name="wrn.Draft_Self." localSheetId="31" hidden="1">{"Self_Summary",#N/A,FALSE,"Trend Form";"Self_Detail_1",#N/A,FALSE,"Trend Form";"Self_Detail_2",#N/A,FALSE,"Trend Form";"Self_Detail_3",#N/A,FALSE,"Trend Form"}</definedName>
    <definedName name="wrn.Draft_Self." localSheetId="33" hidden="1">{"Self_Summary",#N/A,FALSE,"Trend Form";"Self_Detail_1",#N/A,FALSE,"Trend Form";"Self_Detail_2",#N/A,FALSE,"Trend Form";"Self_Detail_3",#N/A,FALSE,"Trend Form"}</definedName>
    <definedName name="wrn.Draft_Self." localSheetId="35" hidden="1">{"Self_Summary",#N/A,FALSE,"Trend Form";"Self_Detail_1",#N/A,FALSE,"Trend Form";"Self_Detail_2",#N/A,FALSE,"Trend Form";"Self_Detail_3",#N/A,FALSE,"Trend Form"}</definedName>
    <definedName name="wrn.Draft_Self." localSheetId="37" hidden="1">{"Self_Summary",#N/A,FALSE,"Trend Form";"Self_Detail_1",#N/A,FALSE,"Trend Form";"Self_Detail_2",#N/A,FALSE,"Trend Form";"Self_Detail_3",#N/A,FALSE,"Trend Form"}</definedName>
    <definedName name="wrn.Draft_Self." localSheetId="39" hidden="1">{"Self_Summary",#N/A,FALSE,"Trend Form";"Self_Detail_1",#N/A,FALSE,"Trend Form";"Self_Detail_2",#N/A,FALSE,"Trend Form";"Self_Detail_3",#N/A,FALSE,"Trend Form"}</definedName>
    <definedName name="wrn.Draft_Self." localSheetId="7" hidden="1">{"Self_Summary",#N/A,FALSE,"Trend Form";"Self_Detail_1",#N/A,FALSE,"Trend Form";"Self_Detail_2",#N/A,FALSE,"Trend Form";"Self_Detail_3",#N/A,FALSE,"Trend Form"}</definedName>
    <definedName name="wrn.Draft_Self." localSheetId="41" hidden="1">{"Self_Summary",#N/A,FALSE,"Trend Form";"Self_Detail_1",#N/A,FALSE,"Trend Form";"Self_Detail_2",#N/A,FALSE,"Trend Form";"Self_Detail_3",#N/A,FALSE,"Trend Form"}</definedName>
    <definedName name="wrn.Draft_Self." localSheetId="43" hidden="1">{"Self_Summary",#N/A,FALSE,"Trend Form";"Self_Detail_1",#N/A,FALSE,"Trend Form";"Self_Detail_2",#N/A,FALSE,"Trend Form";"Self_Detail_3",#N/A,FALSE,"Trend Form"}</definedName>
    <definedName name="wrn.Draft_Self." localSheetId="9" hidden="1">{"Self_Summary",#N/A,FALSE,"Trend Form";"Self_Detail_1",#N/A,FALSE,"Trend Form";"Self_Detail_2",#N/A,FALSE,"Trend Form";"Self_Detail_3",#N/A,FALSE,"Trend Form"}</definedName>
    <definedName name="wrn.Draft_Self." localSheetId="11" hidden="1">{"Self_Summary",#N/A,FALSE,"Trend Form";"Self_Detail_1",#N/A,FALSE,"Trend Form";"Self_Detail_2",#N/A,FALSE,"Trend Form";"Self_Detail_3",#N/A,FALSE,"Trend Form"}</definedName>
    <definedName name="wrn.Draft_Self." localSheetId="13" hidden="1">{"Self_Summary",#N/A,FALSE,"Trend Form";"Self_Detail_1",#N/A,FALSE,"Trend Form";"Self_Detail_2",#N/A,FALSE,"Trend Form";"Self_Detail_3",#N/A,FALSE,"Trend Form"}</definedName>
    <definedName name="wrn.Draft_Self." localSheetId="15" hidden="1">{"Self_Summary",#N/A,FALSE,"Trend Form";"Self_Detail_1",#N/A,FALSE,"Trend Form";"Self_Detail_2",#N/A,FALSE,"Trend Form";"Self_Detail_3",#N/A,FALSE,"Trend Form"}</definedName>
    <definedName name="wrn.Draft_Self." localSheetId="17" hidden="1">{"Self_Summary",#N/A,FALSE,"Trend Form";"Self_Detail_1",#N/A,FALSE,"Trend Form";"Self_Detail_2",#N/A,FALSE,"Trend Form";"Self_Detail_3",#N/A,FALSE,"Trend Form"}</definedName>
    <definedName name="wrn.Draft_Self." localSheetId="19" hidden="1">{"Self_Summary",#N/A,FALSE,"Trend Form";"Self_Detail_1",#N/A,FALSE,"Trend Form";"Self_Detail_2",#N/A,FALSE,"Trend Form";"Self_Detail_3",#N/A,FALSE,"Trend Form"}</definedName>
    <definedName name="wrn.Draft_Self." localSheetId="65" hidden="1">{"Self_Summary",#N/A,FALSE,"Trend Form";"Self_Detail_1",#N/A,FALSE,"Trend Form";"Self_Detail_2",#N/A,FALSE,"Trend Form";"Self_Detail_3",#N/A,FALSE,"Trend Form"}</definedName>
    <definedName name="wrn.Draft_Self." localSheetId="67" hidden="1">{"Self_Summary",#N/A,FALSE,"Trend Form";"Self_Detail_1",#N/A,FALSE,"Trend Form";"Self_Detail_2",#N/A,FALSE,"Trend Form";"Self_Detail_3",#N/A,FALSE,"Trend Form"}</definedName>
    <definedName name="wrn.Draft_Self." localSheetId="69" hidden="1">{"Self_Summary",#N/A,FALSE,"Trend Form";"Self_Detail_1",#N/A,FALSE,"Trend Form";"Self_Detail_2",#N/A,FALSE,"Trend Form";"Self_Detail_3",#N/A,FALSE,"Trend Form"}</definedName>
    <definedName name="wrn.Draft_Self." localSheetId="71" hidden="1">{"Self_Summary",#N/A,FALSE,"Trend Form";"Self_Detail_1",#N/A,FALSE,"Trend Form";"Self_Detail_2",#N/A,FALSE,"Trend Form";"Self_Detail_3",#N/A,FALSE,"Trend Form"}</definedName>
    <definedName name="wrn.Draft_Self." localSheetId="73" hidden="1">{"Self_Summary",#N/A,FALSE,"Trend Form";"Self_Detail_1",#N/A,FALSE,"Trend Form";"Self_Detail_2",#N/A,FALSE,"Trend Form";"Self_Detail_3",#N/A,FALSE,"Trend Form"}</definedName>
    <definedName name="wrn.Draft_Self." localSheetId="75" hidden="1">{"Self_Summary",#N/A,FALSE,"Trend Form";"Self_Detail_1",#N/A,FALSE,"Trend Form";"Self_Detail_2",#N/A,FALSE,"Trend Form";"Self_Detail_3",#N/A,FALSE,"Trend Form"}</definedName>
    <definedName name="wrn.Draft_Self." localSheetId="77" hidden="1">{"Self_Summary",#N/A,FALSE,"Trend Form";"Self_Detail_1",#N/A,FALSE,"Trend Form";"Self_Detail_2",#N/A,FALSE,"Trend Form";"Self_Detail_3",#N/A,FALSE,"Trend Form"}</definedName>
    <definedName name="wrn.Draft_Self." localSheetId="79" hidden="1">{"Self_Summary",#N/A,FALSE,"Trend Form";"Self_Detail_1",#N/A,FALSE,"Trend Form";"Self_Detail_2",#N/A,FALSE,"Trend Form";"Self_Detail_3",#N/A,FALSE,"Trend Form"}</definedName>
    <definedName name="wrn.Draft_Self." localSheetId="81" hidden="1">{"Self_Summary",#N/A,FALSE,"Trend Form";"Self_Detail_1",#N/A,FALSE,"Trend Form";"Self_Detail_2",#N/A,FALSE,"Trend Form";"Self_Detail_3",#N/A,FALSE,"Trend Form"}</definedName>
    <definedName name="wrn.Draft_Self." localSheetId="49" hidden="1">{"Self_Summary",#N/A,FALSE,"Trend Form";"Self_Detail_1",#N/A,FALSE,"Trend Form";"Self_Detail_2",#N/A,FALSE,"Trend Form";"Self_Detail_3",#N/A,FALSE,"Trend Form"}</definedName>
    <definedName name="wrn.Draft_Self." localSheetId="51" hidden="1">{"Self_Summary",#N/A,FALSE,"Trend Form";"Self_Detail_1",#N/A,FALSE,"Trend Form";"Self_Detail_2",#N/A,FALSE,"Trend Form";"Self_Detail_3",#N/A,FALSE,"Trend Form"}</definedName>
    <definedName name="wrn.Draft_Self." localSheetId="53" hidden="1">{"Self_Summary",#N/A,FALSE,"Trend Form";"Self_Detail_1",#N/A,FALSE,"Trend Form";"Self_Detail_2",#N/A,FALSE,"Trend Form";"Self_Detail_3",#N/A,FALSE,"Trend Form"}</definedName>
    <definedName name="wrn.Draft_Self." localSheetId="55" hidden="1">{"Self_Summary",#N/A,FALSE,"Trend Form";"Self_Detail_1",#N/A,FALSE,"Trend Form";"Self_Detail_2",#N/A,FALSE,"Trend Form";"Self_Detail_3",#N/A,FALSE,"Trend Form"}</definedName>
    <definedName name="wrn.Draft_Self." localSheetId="57" hidden="1">{"Self_Summary",#N/A,FALSE,"Trend Form";"Self_Detail_1",#N/A,FALSE,"Trend Form";"Self_Detail_2",#N/A,FALSE,"Trend Form";"Self_Detail_3",#N/A,FALSE,"Trend Form"}</definedName>
    <definedName name="wrn.Draft_Self." localSheetId="59" hidden="1">{"Self_Summary",#N/A,FALSE,"Trend Form";"Self_Detail_1",#N/A,FALSE,"Trend Form";"Self_Detail_2",#N/A,FALSE,"Trend Form";"Self_Detail_3",#N/A,FALSE,"Trend Form"}</definedName>
    <definedName name="wrn.Draft_Self." localSheetId="61" hidden="1">{"Self_Summary",#N/A,FALSE,"Trend Form";"Self_Detail_1",#N/A,FALSE,"Trend Form";"Self_Detail_2",#N/A,FALSE,"Trend Form";"Self_Detail_3",#N/A,FALSE,"Trend Form"}</definedName>
    <definedName name="wrn.Draft_Self." localSheetId="63" hidden="1">{"Self_Summary",#N/A,FALSE,"Trend Form";"Self_Detail_1",#N/A,FALSE,"Trend Form";"Self_Detail_2",#N/A,FALSE,"Trend Form";"Self_Detail_3",#N/A,FALSE,"Trend Form"}</definedName>
    <definedName name="wrn.Draft_Self." localSheetId="64" hidden="1">{"Self_Summary",#N/A,FALSE,"Trend Form";"Self_Detail_1",#N/A,FALSE,"Trend Form";"Self_Detail_2",#N/A,FALSE,"Trend Form";"Self_Detail_3",#N/A,FALSE,"Trend Form"}</definedName>
    <definedName name="wrn.Draft_Self." localSheetId="66" hidden="1">{"Self_Summary",#N/A,FALSE,"Trend Form";"Self_Detail_1",#N/A,FALSE,"Trend Form";"Self_Detail_2",#N/A,FALSE,"Trend Form";"Self_Detail_3",#N/A,FALSE,"Trend Form"}</definedName>
    <definedName name="wrn.Draft_Self." localSheetId="68" hidden="1">{"Self_Summary",#N/A,FALSE,"Trend Form";"Self_Detail_1",#N/A,FALSE,"Trend Form";"Self_Detail_2",#N/A,FALSE,"Trend Form";"Self_Detail_3",#N/A,FALSE,"Trend Form"}</definedName>
    <definedName name="wrn.Draft_Self." localSheetId="70" hidden="1">{"Self_Summary",#N/A,FALSE,"Trend Form";"Self_Detail_1",#N/A,FALSE,"Trend Form";"Self_Detail_2",#N/A,FALSE,"Trend Form";"Self_Detail_3",#N/A,FALSE,"Trend Form"}</definedName>
    <definedName name="wrn.Draft_Self." localSheetId="72" hidden="1">{"Self_Summary",#N/A,FALSE,"Trend Form";"Self_Detail_1",#N/A,FALSE,"Trend Form";"Self_Detail_2",#N/A,FALSE,"Trend Form";"Self_Detail_3",#N/A,FALSE,"Trend Form"}</definedName>
    <definedName name="wrn.Draft_Self." localSheetId="74" hidden="1">{"Self_Summary",#N/A,FALSE,"Trend Form";"Self_Detail_1",#N/A,FALSE,"Trend Form";"Self_Detail_2",#N/A,FALSE,"Trend Form";"Self_Detail_3",#N/A,FALSE,"Trend Form"}</definedName>
    <definedName name="wrn.Draft_Self." localSheetId="76" hidden="1">{"Self_Summary",#N/A,FALSE,"Trend Form";"Self_Detail_1",#N/A,FALSE,"Trend Form";"Self_Detail_2",#N/A,FALSE,"Trend Form";"Self_Detail_3",#N/A,FALSE,"Trend Form"}</definedName>
    <definedName name="wrn.Draft_Self." localSheetId="78" hidden="1">{"Self_Summary",#N/A,FALSE,"Trend Form";"Self_Detail_1",#N/A,FALSE,"Trend Form";"Self_Detail_2",#N/A,FALSE,"Trend Form";"Self_Detail_3",#N/A,FALSE,"Trend Form"}</definedName>
    <definedName name="wrn.Draft_Self." localSheetId="80" hidden="1">{"Self_Summary",#N/A,FALSE,"Trend Form";"Self_Detail_1",#N/A,FALSE,"Trend Form";"Self_Detail_2",#N/A,FALSE,"Trend Form";"Self_Detail_3",#N/A,FALSE,"Trend Form"}</definedName>
    <definedName name="wrn.Draft_Self." localSheetId="48" hidden="1">{"Self_Summary",#N/A,FALSE,"Trend Form";"Self_Detail_1",#N/A,FALSE,"Trend Form";"Self_Detail_2",#N/A,FALSE,"Trend Form";"Self_Detail_3",#N/A,FALSE,"Trend Form"}</definedName>
    <definedName name="wrn.Draft_Self." localSheetId="50" hidden="1">{"Self_Summary",#N/A,FALSE,"Trend Form";"Self_Detail_1",#N/A,FALSE,"Trend Form";"Self_Detail_2",#N/A,FALSE,"Trend Form";"Self_Detail_3",#N/A,FALSE,"Trend Form"}</definedName>
    <definedName name="wrn.Draft_Self." localSheetId="52" hidden="1">{"Self_Summary",#N/A,FALSE,"Trend Form";"Self_Detail_1",#N/A,FALSE,"Trend Form";"Self_Detail_2",#N/A,FALSE,"Trend Form";"Self_Detail_3",#N/A,FALSE,"Trend Form"}</definedName>
    <definedName name="wrn.Draft_Self." localSheetId="54" hidden="1">{"Self_Summary",#N/A,FALSE,"Trend Form";"Self_Detail_1",#N/A,FALSE,"Trend Form";"Self_Detail_2",#N/A,FALSE,"Trend Form";"Self_Detail_3",#N/A,FALSE,"Trend Form"}</definedName>
    <definedName name="wrn.Draft_Self." localSheetId="56" hidden="1">{"Self_Summary",#N/A,FALSE,"Trend Form";"Self_Detail_1",#N/A,FALSE,"Trend Form";"Self_Detail_2",#N/A,FALSE,"Trend Form";"Self_Detail_3",#N/A,FALSE,"Trend Form"}</definedName>
    <definedName name="wrn.Draft_Self." localSheetId="58" hidden="1">{"Self_Summary",#N/A,FALSE,"Trend Form";"Self_Detail_1",#N/A,FALSE,"Trend Form";"Self_Detail_2",#N/A,FALSE,"Trend Form";"Self_Detail_3",#N/A,FALSE,"Trend Form"}</definedName>
    <definedName name="wrn.Draft_Self." localSheetId="60" hidden="1">{"Self_Summary",#N/A,FALSE,"Trend Form";"Self_Detail_1",#N/A,FALSE,"Trend Form";"Self_Detail_2",#N/A,FALSE,"Trend Form";"Self_Detail_3",#N/A,FALSE,"Trend Form"}</definedName>
    <definedName name="wrn.Draft_Self." localSheetId="62" hidden="1">{"Self_Summary",#N/A,FALSE,"Trend Form";"Self_Detail_1",#N/A,FALSE,"Trend Form";"Self_Detail_2",#N/A,FALSE,"Trend Form";"Self_Detail_3",#N/A,FALSE,"Trend Form"}</definedName>
    <definedName name="wrn.Draft_Self." localSheetId="92" hidden="1">{"Self_Summary",#N/A,FALSE,"Trend Form";"Self_Detail_1",#N/A,FALSE,"Trend Form";"Self_Detail_2",#N/A,FALSE,"Trend Form";"Self_Detail_3",#N/A,FALSE,"Trend Form"}</definedName>
    <definedName name="wrn.Draft_Self." localSheetId="86" hidden="1">{"Self_Summary",#N/A,FALSE,"Trend Form";"Self_Detail_1",#N/A,FALSE,"Trend Form";"Self_Detail_2",#N/A,FALSE,"Trend Form";"Self_Detail_3",#N/A,FALSE,"Trend Form"}</definedName>
    <definedName name="wrn.Draft_Self." localSheetId="88" hidden="1">{"Self_Summary",#N/A,FALSE,"Trend Form";"Self_Detail_1",#N/A,FALSE,"Trend Form";"Self_Detail_2",#N/A,FALSE,"Trend Form";"Self_Detail_3",#N/A,FALSE,"Trend Form"}</definedName>
    <definedName name="wrn.Draft_Self." localSheetId="90" hidden="1">{"Self_Summary",#N/A,FALSE,"Trend Form";"Self_Detail_1",#N/A,FALSE,"Trend Form";"Self_Detail_2",#N/A,FALSE,"Trend Form";"Self_Detail_3",#N/A,FALSE,"Trend Form"}</definedName>
    <definedName name="wrn.Draft_Self." localSheetId="91" hidden="1">{"Self_Summary",#N/A,FALSE,"Trend Form";"Self_Detail_1",#N/A,FALSE,"Trend Form";"Self_Detail_2",#N/A,FALSE,"Trend Form";"Self_Detail_3",#N/A,FALSE,"Trend Form"}</definedName>
    <definedName name="wrn.Draft_Self." localSheetId="85" hidden="1">{"Self_Summary",#N/A,FALSE,"Trend Form";"Self_Detail_1",#N/A,FALSE,"Trend Form";"Self_Detail_2",#N/A,FALSE,"Trend Form";"Self_Detail_3",#N/A,FALSE,"Trend Form"}</definedName>
    <definedName name="wrn.Draft_Self." localSheetId="87" hidden="1">{"Self_Summary",#N/A,FALSE,"Trend Form";"Self_Detail_1",#N/A,FALSE,"Trend Form";"Self_Detail_2",#N/A,FALSE,"Trend Form";"Self_Detail_3",#N/A,FALSE,"Trend Form"}</definedName>
    <definedName name="wrn.Draft_Self." localSheetId="89" hidden="1">{"Self_Summary",#N/A,FALSE,"Trend Form";"Self_Detail_1",#N/A,FALSE,"Trend Form";"Self_Detail_2",#N/A,FALSE,"Trend Form";"Self_Detail_3",#N/A,FALSE,"Trend Form"}</definedName>
    <definedName name="wrn.Draft_Self." hidden="1">{"Self_Summary",#N/A,FALSE,"Trend Form";"Self_Detail_1",#N/A,FALSE,"Trend Form";"Self_Detail_2",#N/A,FALSE,"Trend Form";"Self_Detail_3",#N/A,FALSE,"Trend Form"}</definedName>
    <definedName name="wrn.Print._.Me." localSheetId="2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9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9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9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rates." localSheetId="22" hidden="1">{"rates",#N/A,FALSE,"Summary"}</definedName>
    <definedName name="wrn.rates." localSheetId="24" hidden="1">{"rates",#N/A,FALSE,"Summary"}</definedName>
    <definedName name="wrn.rates." localSheetId="26" hidden="1">{"rates",#N/A,FALSE,"Summary"}</definedName>
    <definedName name="wrn.rates." localSheetId="28" hidden="1">{"rates",#N/A,FALSE,"Summary"}</definedName>
    <definedName name="wrn.rates." localSheetId="30" hidden="1">{"rates",#N/A,FALSE,"Summary"}</definedName>
    <definedName name="wrn.rates." localSheetId="32" hidden="1">{"rates",#N/A,FALSE,"Summary"}</definedName>
    <definedName name="wrn.rates." localSheetId="34" hidden="1">{"rates",#N/A,FALSE,"Summary"}</definedName>
    <definedName name="wrn.rates." localSheetId="36" hidden="1">{"rates",#N/A,FALSE,"Summary"}</definedName>
    <definedName name="wrn.rates." localSheetId="38" hidden="1">{"rates",#N/A,FALSE,"Summary"}</definedName>
    <definedName name="wrn.rates." localSheetId="40" hidden="1">{"rates",#N/A,FALSE,"Summary"}</definedName>
    <definedName name="wrn.rates." localSheetId="8" hidden="1">{"rates",#N/A,FALSE,"Summary"}</definedName>
    <definedName name="wrn.rates." localSheetId="42" hidden="1">{"rates",#N/A,FALSE,"Summary"}</definedName>
    <definedName name="wrn.rates." localSheetId="44" hidden="1">{"rates",#N/A,FALSE,"Summary"}</definedName>
    <definedName name="wrn.rates." localSheetId="10" hidden="1">{"rates",#N/A,FALSE,"Summary"}</definedName>
    <definedName name="wrn.rates." localSheetId="12" hidden="1">{"rates",#N/A,FALSE,"Summary"}</definedName>
    <definedName name="wrn.rates." localSheetId="14" hidden="1">{"rates",#N/A,FALSE,"Summary"}</definedName>
    <definedName name="wrn.rates." localSheetId="16" hidden="1">{"rates",#N/A,FALSE,"Summary"}</definedName>
    <definedName name="wrn.rates." localSheetId="18" hidden="1">{"rates",#N/A,FALSE,"Summary"}</definedName>
    <definedName name="wrn.rates." localSheetId="20" hidden="1">{"rates",#N/A,FALSE,"Summary"}</definedName>
    <definedName name="wrn.rates." localSheetId="21" hidden="1">{"rates",#N/A,FALSE,"Summary"}</definedName>
    <definedName name="wrn.rates." localSheetId="23" hidden="1">{"rates",#N/A,FALSE,"Summary"}</definedName>
    <definedName name="wrn.rates." localSheetId="25" hidden="1">{"rates",#N/A,FALSE,"Summary"}</definedName>
    <definedName name="wrn.rates." localSheetId="27" hidden="1">{"rates",#N/A,FALSE,"Summary"}</definedName>
    <definedName name="wrn.rates." localSheetId="29" hidden="1">{"rates",#N/A,FALSE,"Summary"}</definedName>
    <definedName name="wrn.rates." localSheetId="31" hidden="1">{"rates",#N/A,FALSE,"Summary"}</definedName>
    <definedName name="wrn.rates." localSheetId="33" hidden="1">{"rates",#N/A,FALSE,"Summary"}</definedName>
    <definedName name="wrn.rates." localSheetId="35" hidden="1">{"rates",#N/A,FALSE,"Summary"}</definedName>
    <definedName name="wrn.rates." localSheetId="37" hidden="1">{"rates",#N/A,FALSE,"Summary"}</definedName>
    <definedName name="wrn.rates." localSheetId="39" hidden="1">{"rates",#N/A,FALSE,"Summary"}</definedName>
    <definedName name="wrn.rates." localSheetId="7" hidden="1">{"rates",#N/A,FALSE,"Summary"}</definedName>
    <definedName name="wrn.rates." localSheetId="41" hidden="1">{"rates",#N/A,FALSE,"Summary"}</definedName>
    <definedName name="wrn.rates." localSheetId="43" hidden="1">{"rates",#N/A,FALSE,"Summary"}</definedName>
    <definedName name="wrn.rates." localSheetId="9" hidden="1">{"rates",#N/A,FALSE,"Summary"}</definedName>
    <definedName name="wrn.rates." localSheetId="11" hidden="1">{"rates",#N/A,FALSE,"Summary"}</definedName>
    <definedName name="wrn.rates." localSheetId="13" hidden="1">{"rates",#N/A,FALSE,"Summary"}</definedName>
    <definedName name="wrn.rates." localSheetId="15" hidden="1">{"rates",#N/A,FALSE,"Summary"}</definedName>
    <definedName name="wrn.rates." localSheetId="17" hidden="1">{"rates",#N/A,FALSE,"Summary"}</definedName>
    <definedName name="wrn.rates." localSheetId="19" hidden="1">{"rates",#N/A,FALSE,"Summary"}</definedName>
    <definedName name="wrn.rates." localSheetId="65" hidden="1">{"rates",#N/A,FALSE,"Summary"}</definedName>
    <definedName name="wrn.rates." localSheetId="67" hidden="1">{"rates",#N/A,FALSE,"Summary"}</definedName>
    <definedName name="wrn.rates." localSheetId="69" hidden="1">{"rates",#N/A,FALSE,"Summary"}</definedName>
    <definedName name="wrn.rates." localSheetId="71" hidden="1">{"rates",#N/A,FALSE,"Summary"}</definedName>
    <definedName name="wrn.rates." localSheetId="73" hidden="1">{"rates",#N/A,FALSE,"Summary"}</definedName>
    <definedName name="wrn.rates." localSheetId="75" hidden="1">{"rates",#N/A,FALSE,"Summary"}</definedName>
    <definedName name="wrn.rates." localSheetId="77" hidden="1">{"rates",#N/A,FALSE,"Summary"}</definedName>
    <definedName name="wrn.rates." localSheetId="79" hidden="1">{"rates",#N/A,FALSE,"Summary"}</definedName>
    <definedName name="wrn.rates." localSheetId="81" hidden="1">{"rates",#N/A,FALSE,"Summary"}</definedName>
    <definedName name="wrn.rates." localSheetId="49" hidden="1">{"rates",#N/A,FALSE,"Summary"}</definedName>
    <definedName name="wrn.rates." localSheetId="51" hidden="1">{"rates",#N/A,FALSE,"Summary"}</definedName>
    <definedName name="wrn.rates." localSheetId="53" hidden="1">{"rates",#N/A,FALSE,"Summary"}</definedName>
    <definedName name="wrn.rates." localSheetId="55" hidden="1">{"rates",#N/A,FALSE,"Summary"}</definedName>
    <definedName name="wrn.rates." localSheetId="57" hidden="1">{"rates",#N/A,FALSE,"Summary"}</definedName>
    <definedName name="wrn.rates." localSheetId="59" hidden="1">{"rates",#N/A,FALSE,"Summary"}</definedName>
    <definedName name="wrn.rates." localSheetId="61" hidden="1">{"rates",#N/A,FALSE,"Summary"}</definedName>
    <definedName name="wrn.rates." localSheetId="63" hidden="1">{"rates",#N/A,FALSE,"Summary"}</definedName>
    <definedName name="wrn.rates." localSheetId="64" hidden="1">{"rates",#N/A,FALSE,"Summary"}</definedName>
    <definedName name="wrn.rates." localSheetId="66" hidden="1">{"rates",#N/A,FALSE,"Summary"}</definedName>
    <definedName name="wrn.rates." localSheetId="68" hidden="1">{"rates",#N/A,FALSE,"Summary"}</definedName>
    <definedName name="wrn.rates." localSheetId="70" hidden="1">{"rates",#N/A,FALSE,"Summary"}</definedName>
    <definedName name="wrn.rates." localSheetId="72" hidden="1">{"rates",#N/A,FALSE,"Summary"}</definedName>
    <definedName name="wrn.rates." localSheetId="74" hidden="1">{"rates",#N/A,FALSE,"Summary"}</definedName>
    <definedName name="wrn.rates." localSheetId="76" hidden="1">{"rates",#N/A,FALSE,"Summary"}</definedName>
    <definedName name="wrn.rates." localSheetId="78" hidden="1">{"rates",#N/A,FALSE,"Summary"}</definedName>
    <definedName name="wrn.rates." localSheetId="80" hidden="1">{"rates",#N/A,FALSE,"Summary"}</definedName>
    <definedName name="wrn.rates." localSheetId="48" hidden="1">{"rates",#N/A,FALSE,"Summary"}</definedName>
    <definedName name="wrn.rates." localSheetId="50" hidden="1">{"rates",#N/A,FALSE,"Summary"}</definedName>
    <definedName name="wrn.rates." localSheetId="52" hidden="1">{"rates",#N/A,FALSE,"Summary"}</definedName>
    <definedName name="wrn.rates." localSheetId="54" hidden="1">{"rates",#N/A,FALSE,"Summary"}</definedName>
    <definedName name="wrn.rates." localSheetId="56" hidden="1">{"rates",#N/A,FALSE,"Summary"}</definedName>
    <definedName name="wrn.rates." localSheetId="58" hidden="1">{"rates",#N/A,FALSE,"Summary"}</definedName>
    <definedName name="wrn.rates." localSheetId="60" hidden="1">{"rates",#N/A,FALSE,"Summary"}</definedName>
    <definedName name="wrn.rates." localSheetId="62" hidden="1">{"rates",#N/A,FALSE,"Summary"}</definedName>
    <definedName name="wrn.rates." localSheetId="92" hidden="1">{"rates",#N/A,FALSE,"Summary"}</definedName>
    <definedName name="wrn.rates." localSheetId="86" hidden="1">{"rates",#N/A,FALSE,"Summary"}</definedName>
    <definedName name="wrn.rates." localSheetId="88" hidden="1">{"rates",#N/A,FALSE,"Summary"}</definedName>
    <definedName name="wrn.rates." localSheetId="90" hidden="1">{"rates",#N/A,FALSE,"Summary"}</definedName>
    <definedName name="wrn.rates." localSheetId="91" hidden="1">{"rates",#N/A,FALSE,"Summary"}</definedName>
    <definedName name="wrn.rates." localSheetId="85" hidden="1">{"rates",#N/A,FALSE,"Summary"}</definedName>
    <definedName name="wrn.rates." localSheetId="87" hidden="1">{"rates",#N/A,FALSE,"Summary"}</definedName>
    <definedName name="wrn.rates." localSheetId="89" hidden="1">{"rates",#N/A,FALSE,"Summary"}</definedName>
    <definedName name="wrn.rates." hidden="1">{"rates",#N/A,FALSE,"Summary"}</definedName>
    <definedName name="wrn.Section._.2._.Non._.Medical." localSheetId="2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9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9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9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ummary." localSheetId="22" hidden="1">{#N/A,#N/A,FALSE,"Sheet1";#N/A,#N/A,FALSE,"Page1";#N/A,#N/A,FALSE,"Page2"}</definedName>
    <definedName name="wrn.Summary." localSheetId="24" hidden="1">{#N/A,#N/A,FALSE,"Sheet1";#N/A,#N/A,FALSE,"Page1";#N/A,#N/A,FALSE,"Page2"}</definedName>
    <definedName name="wrn.Summary." localSheetId="26" hidden="1">{#N/A,#N/A,FALSE,"Sheet1";#N/A,#N/A,FALSE,"Page1";#N/A,#N/A,FALSE,"Page2"}</definedName>
    <definedName name="wrn.Summary." localSheetId="28" hidden="1">{#N/A,#N/A,FALSE,"Sheet1";#N/A,#N/A,FALSE,"Page1";#N/A,#N/A,FALSE,"Page2"}</definedName>
    <definedName name="wrn.Summary." localSheetId="30" hidden="1">{#N/A,#N/A,FALSE,"Sheet1";#N/A,#N/A,FALSE,"Page1";#N/A,#N/A,FALSE,"Page2"}</definedName>
    <definedName name="wrn.Summary." localSheetId="32" hidden="1">{#N/A,#N/A,FALSE,"Sheet1";#N/A,#N/A,FALSE,"Page1";#N/A,#N/A,FALSE,"Page2"}</definedName>
    <definedName name="wrn.Summary." localSheetId="34" hidden="1">{#N/A,#N/A,FALSE,"Sheet1";#N/A,#N/A,FALSE,"Page1";#N/A,#N/A,FALSE,"Page2"}</definedName>
    <definedName name="wrn.Summary." localSheetId="36" hidden="1">{#N/A,#N/A,FALSE,"Sheet1";#N/A,#N/A,FALSE,"Page1";#N/A,#N/A,FALSE,"Page2"}</definedName>
    <definedName name="wrn.Summary." localSheetId="38" hidden="1">{#N/A,#N/A,FALSE,"Sheet1";#N/A,#N/A,FALSE,"Page1";#N/A,#N/A,FALSE,"Page2"}</definedName>
    <definedName name="wrn.Summary." localSheetId="40" hidden="1">{#N/A,#N/A,FALSE,"Sheet1";#N/A,#N/A,FALSE,"Page1";#N/A,#N/A,FALSE,"Page2"}</definedName>
    <definedName name="wrn.Summary." localSheetId="8" hidden="1">{#N/A,#N/A,FALSE,"Sheet1";#N/A,#N/A,FALSE,"Page1";#N/A,#N/A,FALSE,"Page2"}</definedName>
    <definedName name="wrn.Summary." localSheetId="42" hidden="1">{#N/A,#N/A,FALSE,"Sheet1";#N/A,#N/A,FALSE,"Page1";#N/A,#N/A,FALSE,"Page2"}</definedName>
    <definedName name="wrn.Summary." localSheetId="44" hidden="1">{#N/A,#N/A,FALSE,"Sheet1";#N/A,#N/A,FALSE,"Page1";#N/A,#N/A,FALSE,"Page2"}</definedName>
    <definedName name="wrn.Summary." localSheetId="10" hidden="1">{#N/A,#N/A,FALSE,"Sheet1";#N/A,#N/A,FALSE,"Page1";#N/A,#N/A,FALSE,"Page2"}</definedName>
    <definedName name="wrn.Summary." localSheetId="12" hidden="1">{#N/A,#N/A,FALSE,"Sheet1";#N/A,#N/A,FALSE,"Page1";#N/A,#N/A,FALSE,"Page2"}</definedName>
    <definedName name="wrn.Summary." localSheetId="14" hidden="1">{#N/A,#N/A,FALSE,"Sheet1";#N/A,#N/A,FALSE,"Page1";#N/A,#N/A,FALSE,"Page2"}</definedName>
    <definedName name="wrn.Summary." localSheetId="16" hidden="1">{#N/A,#N/A,FALSE,"Sheet1";#N/A,#N/A,FALSE,"Page1";#N/A,#N/A,FALSE,"Page2"}</definedName>
    <definedName name="wrn.Summary." localSheetId="18" hidden="1">{#N/A,#N/A,FALSE,"Sheet1";#N/A,#N/A,FALSE,"Page1";#N/A,#N/A,FALSE,"Page2"}</definedName>
    <definedName name="wrn.Summary." localSheetId="20" hidden="1">{#N/A,#N/A,FALSE,"Sheet1";#N/A,#N/A,FALSE,"Page1";#N/A,#N/A,FALSE,"Page2"}</definedName>
    <definedName name="wrn.Summary." localSheetId="21" hidden="1">{#N/A,#N/A,FALSE,"Sheet1";#N/A,#N/A,FALSE,"Page1";#N/A,#N/A,FALSE,"Page2"}</definedName>
    <definedName name="wrn.Summary." localSheetId="23" hidden="1">{#N/A,#N/A,FALSE,"Sheet1";#N/A,#N/A,FALSE,"Page1";#N/A,#N/A,FALSE,"Page2"}</definedName>
    <definedName name="wrn.Summary." localSheetId="25" hidden="1">{#N/A,#N/A,FALSE,"Sheet1";#N/A,#N/A,FALSE,"Page1";#N/A,#N/A,FALSE,"Page2"}</definedName>
    <definedName name="wrn.Summary." localSheetId="27" hidden="1">{#N/A,#N/A,FALSE,"Sheet1";#N/A,#N/A,FALSE,"Page1";#N/A,#N/A,FALSE,"Page2"}</definedName>
    <definedName name="wrn.Summary." localSheetId="29" hidden="1">{#N/A,#N/A,FALSE,"Sheet1";#N/A,#N/A,FALSE,"Page1";#N/A,#N/A,FALSE,"Page2"}</definedName>
    <definedName name="wrn.Summary." localSheetId="31" hidden="1">{#N/A,#N/A,FALSE,"Sheet1";#N/A,#N/A,FALSE,"Page1";#N/A,#N/A,FALSE,"Page2"}</definedName>
    <definedName name="wrn.Summary." localSheetId="33" hidden="1">{#N/A,#N/A,FALSE,"Sheet1";#N/A,#N/A,FALSE,"Page1";#N/A,#N/A,FALSE,"Page2"}</definedName>
    <definedName name="wrn.Summary." localSheetId="35" hidden="1">{#N/A,#N/A,FALSE,"Sheet1";#N/A,#N/A,FALSE,"Page1";#N/A,#N/A,FALSE,"Page2"}</definedName>
    <definedName name="wrn.Summary." localSheetId="37" hidden="1">{#N/A,#N/A,FALSE,"Sheet1";#N/A,#N/A,FALSE,"Page1";#N/A,#N/A,FALSE,"Page2"}</definedName>
    <definedName name="wrn.Summary." localSheetId="39" hidden="1">{#N/A,#N/A,FALSE,"Sheet1";#N/A,#N/A,FALSE,"Page1";#N/A,#N/A,FALSE,"Page2"}</definedName>
    <definedName name="wrn.Summary." localSheetId="7" hidden="1">{#N/A,#N/A,FALSE,"Sheet1";#N/A,#N/A,FALSE,"Page1";#N/A,#N/A,FALSE,"Page2"}</definedName>
    <definedName name="wrn.Summary." localSheetId="41" hidden="1">{#N/A,#N/A,FALSE,"Sheet1";#N/A,#N/A,FALSE,"Page1";#N/A,#N/A,FALSE,"Page2"}</definedName>
    <definedName name="wrn.Summary." localSheetId="43" hidden="1">{#N/A,#N/A,FALSE,"Sheet1";#N/A,#N/A,FALSE,"Page1";#N/A,#N/A,FALSE,"Page2"}</definedName>
    <definedName name="wrn.Summary." localSheetId="9" hidden="1">{#N/A,#N/A,FALSE,"Sheet1";#N/A,#N/A,FALSE,"Page1";#N/A,#N/A,FALSE,"Page2"}</definedName>
    <definedName name="wrn.Summary." localSheetId="11" hidden="1">{#N/A,#N/A,FALSE,"Sheet1";#N/A,#N/A,FALSE,"Page1";#N/A,#N/A,FALSE,"Page2"}</definedName>
    <definedName name="wrn.Summary." localSheetId="13" hidden="1">{#N/A,#N/A,FALSE,"Sheet1";#N/A,#N/A,FALSE,"Page1";#N/A,#N/A,FALSE,"Page2"}</definedName>
    <definedName name="wrn.Summary." localSheetId="15" hidden="1">{#N/A,#N/A,FALSE,"Sheet1";#N/A,#N/A,FALSE,"Page1";#N/A,#N/A,FALSE,"Page2"}</definedName>
    <definedName name="wrn.Summary." localSheetId="17" hidden="1">{#N/A,#N/A,FALSE,"Sheet1";#N/A,#N/A,FALSE,"Page1";#N/A,#N/A,FALSE,"Page2"}</definedName>
    <definedName name="wrn.Summary." localSheetId="19" hidden="1">{#N/A,#N/A,FALSE,"Sheet1";#N/A,#N/A,FALSE,"Page1";#N/A,#N/A,FALSE,"Page2"}</definedName>
    <definedName name="wrn.Summary." localSheetId="65" hidden="1">{#N/A,#N/A,FALSE,"Sheet1";#N/A,#N/A,FALSE,"Page1";#N/A,#N/A,FALSE,"Page2"}</definedName>
    <definedName name="wrn.Summary." localSheetId="67" hidden="1">{#N/A,#N/A,FALSE,"Sheet1";#N/A,#N/A,FALSE,"Page1";#N/A,#N/A,FALSE,"Page2"}</definedName>
    <definedName name="wrn.Summary." localSheetId="69" hidden="1">{#N/A,#N/A,FALSE,"Sheet1";#N/A,#N/A,FALSE,"Page1";#N/A,#N/A,FALSE,"Page2"}</definedName>
    <definedName name="wrn.Summary." localSheetId="71" hidden="1">{#N/A,#N/A,FALSE,"Sheet1";#N/A,#N/A,FALSE,"Page1";#N/A,#N/A,FALSE,"Page2"}</definedName>
    <definedName name="wrn.Summary." localSheetId="73" hidden="1">{#N/A,#N/A,FALSE,"Sheet1";#N/A,#N/A,FALSE,"Page1";#N/A,#N/A,FALSE,"Page2"}</definedName>
    <definedName name="wrn.Summary." localSheetId="75" hidden="1">{#N/A,#N/A,FALSE,"Sheet1";#N/A,#N/A,FALSE,"Page1";#N/A,#N/A,FALSE,"Page2"}</definedName>
    <definedName name="wrn.Summary." localSheetId="77" hidden="1">{#N/A,#N/A,FALSE,"Sheet1";#N/A,#N/A,FALSE,"Page1";#N/A,#N/A,FALSE,"Page2"}</definedName>
    <definedName name="wrn.Summary." localSheetId="79" hidden="1">{#N/A,#N/A,FALSE,"Sheet1";#N/A,#N/A,FALSE,"Page1";#N/A,#N/A,FALSE,"Page2"}</definedName>
    <definedName name="wrn.Summary." localSheetId="81" hidden="1">{#N/A,#N/A,FALSE,"Sheet1";#N/A,#N/A,FALSE,"Page1";#N/A,#N/A,FALSE,"Page2"}</definedName>
    <definedName name="wrn.Summary." localSheetId="49" hidden="1">{#N/A,#N/A,FALSE,"Sheet1";#N/A,#N/A,FALSE,"Page1";#N/A,#N/A,FALSE,"Page2"}</definedName>
    <definedName name="wrn.Summary." localSheetId="51" hidden="1">{#N/A,#N/A,FALSE,"Sheet1";#N/A,#N/A,FALSE,"Page1";#N/A,#N/A,FALSE,"Page2"}</definedName>
    <definedName name="wrn.Summary." localSheetId="53" hidden="1">{#N/A,#N/A,FALSE,"Sheet1";#N/A,#N/A,FALSE,"Page1";#N/A,#N/A,FALSE,"Page2"}</definedName>
    <definedName name="wrn.Summary." localSheetId="55" hidden="1">{#N/A,#N/A,FALSE,"Sheet1";#N/A,#N/A,FALSE,"Page1";#N/A,#N/A,FALSE,"Page2"}</definedName>
    <definedName name="wrn.Summary." localSheetId="57" hidden="1">{#N/A,#N/A,FALSE,"Sheet1";#N/A,#N/A,FALSE,"Page1";#N/A,#N/A,FALSE,"Page2"}</definedName>
    <definedName name="wrn.Summary." localSheetId="59" hidden="1">{#N/A,#N/A,FALSE,"Sheet1";#N/A,#N/A,FALSE,"Page1";#N/A,#N/A,FALSE,"Page2"}</definedName>
    <definedName name="wrn.Summary." localSheetId="61" hidden="1">{#N/A,#N/A,FALSE,"Sheet1";#N/A,#N/A,FALSE,"Page1";#N/A,#N/A,FALSE,"Page2"}</definedName>
    <definedName name="wrn.Summary." localSheetId="63" hidden="1">{#N/A,#N/A,FALSE,"Sheet1";#N/A,#N/A,FALSE,"Page1";#N/A,#N/A,FALSE,"Page2"}</definedName>
    <definedName name="wrn.Summary." localSheetId="64" hidden="1">{#N/A,#N/A,FALSE,"Sheet1";#N/A,#N/A,FALSE,"Page1";#N/A,#N/A,FALSE,"Page2"}</definedName>
    <definedName name="wrn.Summary." localSheetId="66" hidden="1">{#N/A,#N/A,FALSE,"Sheet1";#N/A,#N/A,FALSE,"Page1";#N/A,#N/A,FALSE,"Page2"}</definedName>
    <definedName name="wrn.Summary." localSheetId="68" hidden="1">{#N/A,#N/A,FALSE,"Sheet1";#N/A,#N/A,FALSE,"Page1";#N/A,#N/A,FALSE,"Page2"}</definedName>
    <definedName name="wrn.Summary." localSheetId="70" hidden="1">{#N/A,#N/A,FALSE,"Sheet1";#N/A,#N/A,FALSE,"Page1";#N/A,#N/A,FALSE,"Page2"}</definedName>
    <definedName name="wrn.Summary." localSheetId="72" hidden="1">{#N/A,#N/A,FALSE,"Sheet1";#N/A,#N/A,FALSE,"Page1";#N/A,#N/A,FALSE,"Page2"}</definedName>
    <definedName name="wrn.Summary." localSheetId="74" hidden="1">{#N/A,#N/A,FALSE,"Sheet1";#N/A,#N/A,FALSE,"Page1";#N/A,#N/A,FALSE,"Page2"}</definedName>
    <definedName name="wrn.Summary." localSheetId="76" hidden="1">{#N/A,#N/A,FALSE,"Sheet1";#N/A,#N/A,FALSE,"Page1";#N/A,#N/A,FALSE,"Page2"}</definedName>
    <definedName name="wrn.Summary." localSheetId="78" hidden="1">{#N/A,#N/A,FALSE,"Sheet1";#N/A,#N/A,FALSE,"Page1";#N/A,#N/A,FALSE,"Page2"}</definedName>
    <definedName name="wrn.Summary." localSheetId="80" hidden="1">{#N/A,#N/A,FALSE,"Sheet1";#N/A,#N/A,FALSE,"Page1";#N/A,#N/A,FALSE,"Page2"}</definedName>
    <definedName name="wrn.Summary." localSheetId="48" hidden="1">{#N/A,#N/A,FALSE,"Sheet1";#N/A,#N/A,FALSE,"Page1";#N/A,#N/A,FALSE,"Page2"}</definedName>
    <definedName name="wrn.Summary." localSheetId="50" hidden="1">{#N/A,#N/A,FALSE,"Sheet1";#N/A,#N/A,FALSE,"Page1";#N/A,#N/A,FALSE,"Page2"}</definedName>
    <definedName name="wrn.Summary." localSheetId="52" hidden="1">{#N/A,#N/A,FALSE,"Sheet1";#N/A,#N/A,FALSE,"Page1";#N/A,#N/A,FALSE,"Page2"}</definedName>
    <definedName name="wrn.Summary." localSheetId="54" hidden="1">{#N/A,#N/A,FALSE,"Sheet1";#N/A,#N/A,FALSE,"Page1";#N/A,#N/A,FALSE,"Page2"}</definedName>
    <definedName name="wrn.Summary." localSheetId="56" hidden="1">{#N/A,#N/A,FALSE,"Sheet1";#N/A,#N/A,FALSE,"Page1";#N/A,#N/A,FALSE,"Page2"}</definedName>
    <definedName name="wrn.Summary." localSheetId="58" hidden="1">{#N/A,#N/A,FALSE,"Sheet1";#N/A,#N/A,FALSE,"Page1";#N/A,#N/A,FALSE,"Page2"}</definedName>
    <definedName name="wrn.Summary." localSheetId="60" hidden="1">{#N/A,#N/A,FALSE,"Sheet1";#N/A,#N/A,FALSE,"Page1";#N/A,#N/A,FALSE,"Page2"}</definedName>
    <definedName name="wrn.Summary." localSheetId="62" hidden="1">{#N/A,#N/A,FALSE,"Sheet1";#N/A,#N/A,FALSE,"Page1";#N/A,#N/A,FALSE,"Page2"}</definedName>
    <definedName name="wrn.Summary." localSheetId="92" hidden="1">{#N/A,#N/A,FALSE,"Sheet1";#N/A,#N/A,FALSE,"Page1";#N/A,#N/A,FALSE,"Page2"}</definedName>
    <definedName name="wrn.Summary." localSheetId="86" hidden="1">{#N/A,#N/A,FALSE,"Sheet1";#N/A,#N/A,FALSE,"Page1";#N/A,#N/A,FALSE,"Page2"}</definedName>
    <definedName name="wrn.Summary." localSheetId="88" hidden="1">{#N/A,#N/A,FALSE,"Sheet1";#N/A,#N/A,FALSE,"Page1";#N/A,#N/A,FALSE,"Page2"}</definedName>
    <definedName name="wrn.Summary." localSheetId="90" hidden="1">{#N/A,#N/A,FALSE,"Sheet1";#N/A,#N/A,FALSE,"Page1";#N/A,#N/A,FALSE,"Page2"}</definedName>
    <definedName name="wrn.Summary." localSheetId="91" hidden="1">{#N/A,#N/A,FALSE,"Sheet1";#N/A,#N/A,FALSE,"Page1";#N/A,#N/A,FALSE,"Page2"}</definedName>
    <definedName name="wrn.Summary." localSheetId="85" hidden="1">{#N/A,#N/A,FALSE,"Sheet1";#N/A,#N/A,FALSE,"Page1";#N/A,#N/A,FALSE,"Page2"}</definedName>
    <definedName name="wrn.Summary." localSheetId="87" hidden="1">{#N/A,#N/A,FALSE,"Sheet1";#N/A,#N/A,FALSE,"Page1";#N/A,#N/A,FALSE,"Page2"}</definedName>
    <definedName name="wrn.Summary." localSheetId="89" hidden="1">{#N/A,#N/A,FALSE,"Sheet1";#N/A,#N/A,FALSE,"Page1";#N/A,#N/A,FALSE,"Page2"}</definedName>
    <definedName name="wrn.Summary." hidden="1">{#N/A,#N/A,FALSE,"Sheet1";#N/A,#N/A,FALSE,"Page1";#N/A,#N/A,FALSE,"Page2"}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92" l="1"/>
  <c r="L22" i="92"/>
  <c r="K22" i="92" s="1"/>
  <c r="J23" i="92"/>
  <c r="J24" i="92"/>
  <c r="L24" i="92"/>
  <c r="K24" i="92" s="1"/>
  <c r="J25" i="92"/>
  <c r="J32" i="92"/>
  <c r="L32" i="92" s="1"/>
  <c r="J33" i="92"/>
  <c r="J34" i="92"/>
  <c r="K34" i="92"/>
  <c r="J35" i="92"/>
  <c r="J50" i="92"/>
  <c r="J53" i="92" s="1"/>
  <c r="J51" i="92"/>
  <c r="M51" i="92"/>
  <c r="J52" i="92"/>
  <c r="M52" i="92"/>
  <c r="K52" i="92" s="1"/>
  <c r="J60" i="92"/>
  <c r="J61" i="92"/>
  <c r="J63" i="92" s="1"/>
  <c r="M61" i="92"/>
  <c r="J62" i="92"/>
  <c r="K62" i="92"/>
  <c r="L11" i="91"/>
  <c r="L15" i="91" s="1"/>
  <c r="O15" i="91" s="1"/>
  <c r="M11" i="91"/>
  <c r="N11" i="91"/>
  <c r="P11" i="91" s="1"/>
  <c r="O11" i="91"/>
  <c r="L12" i="91"/>
  <c r="N12" i="91"/>
  <c r="O12" i="91"/>
  <c r="L13" i="91"/>
  <c r="M13" i="91"/>
  <c r="N13" i="91"/>
  <c r="O13" i="91"/>
  <c r="L14" i="91"/>
  <c r="M14" i="91"/>
  <c r="N14" i="91"/>
  <c r="O14" i="91"/>
  <c r="C46" i="91"/>
  <c r="C53" i="91" s="1"/>
  <c r="C50" i="91"/>
  <c r="C55" i="91" s="1"/>
  <c r="D50" i="91"/>
  <c r="D55" i="91" s="1"/>
  <c r="C51" i="91"/>
  <c r="D51" i="91"/>
  <c r="C52" i="91"/>
  <c r="C56" i="91" s="1"/>
  <c r="D52" i="91"/>
  <c r="D53" i="91"/>
  <c r="D56" i="91"/>
  <c r="M27" i="90"/>
  <c r="N27" i="90"/>
  <c r="O27" i="90"/>
  <c r="O43" i="90" s="1"/>
  <c r="M28" i="90"/>
  <c r="N28" i="90"/>
  <c r="O28" i="90" s="1"/>
  <c r="M29" i="90"/>
  <c r="O29" i="90" s="1"/>
  <c r="N29" i="90"/>
  <c r="M30" i="90"/>
  <c r="N30" i="90"/>
  <c r="O30" i="90"/>
  <c r="M31" i="90"/>
  <c r="N31" i="90"/>
  <c r="O31" i="90"/>
  <c r="M32" i="90"/>
  <c r="O32" i="90" s="1"/>
  <c r="N32" i="90"/>
  <c r="M33" i="90"/>
  <c r="O33" i="90" s="1"/>
  <c r="N33" i="90"/>
  <c r="M34" i="90"/>
  <c r="N34" i="90"/>
  <c r="O34" i="90"/>
  <c r="M35" i="90"/>
  <c r="N35" i="90"/>
  <c r="O35" i="90"/>
  <c r="M36" i="90"/>
  <c r="O36" i="90" s="1"/>
  <c r="N36" i="90"/>
  <c r="M37" i="90"/>
  <c r="O37" i="90" s="1"/>
  <c r="N37" i="90"/>
  <c r="M38" i="90"/>
  <c r="N38" i="90"/>
  <c r="O38" i="90"/>
  <c r="M39" i="90"/>
  <c r="N39" i="90"/>
  <c r="O39" i="90"/>
  <c r="M40" i="90"/>
  <c r="O40" i="90" s="1"/>
  <c r="N40" i="90"/>
  <c r="M41" i="90"/>
  <c r="O41" i="90" s="1"/>
  <c r="N41" i="90"/>
  <c r="M42" i="90"/>
  <c r="N42" i="90"/>
  <c r="O42" i="90"/>
  <c r="J61" i="90"/>
  <c r="J63" i="90" s="1"/>
  <c r="K61" i="90"/>
  <c r="L61" i="90"/>
  <c r="J62" i="90"/>
  <c r="K62" i="90" s="1"/>
  <c r="J67" i="90"/>
  <c r="K67" i="90"/>
  <c r="L67" i="90"/>
  <c r="J68" i="90"/>
  <c r="T89" i="90" s="1"/>
  <c r="U89" i="90" s="1"/>
  <c r="K68" i="90"/>
  <c r="K69" i="90" s="1"/>
  <c r="L68" i="90"/>
  <c r="L69" i="90" s="1"/>
  <c r="J69" i="90"/>
  <c r="T80" i="90" s="1"/>
  <c r="U80" i="90" s="1"/>
  <c r="M78" i="90"/>
  <c r="O78" i="90" s="1"/>
  <c r="N78" i="90"/>
  <c r="W78" i="90"/>
  <c r="X78" i="90" s="1"/>
  <c r="M79" i="90"/>
  <c r="O79" i="90" s="1"/>
  <c r="N79" i="90"/>
  <c r="W79" i="90"/>
  <c r="X79" i="90" s="1"/>
  <c r="M80" i="90"/>
  <c r="O80" i="90" s="1"/>
  <c r="N80" i="90"/>
  <c r="X80" i="90" s="1"/>
  <c r="W80" i="90"/>
  <c r="M81" i="90"/>
  <c r="O81" i="90" s="1"/>
  <c r="N81" i="90"/>
  <c r="W81" i="90"/>
  <c r="X81" i="90" s="1"/>
  <c r="M82" i="90"/>
  <c r="N82" i="90"/>
  <c r="O82" i="90"/>
  <c r="W82" i="90"/>
  <c r="X82" i="90" s="1"/>
  <c r="M83" i="90"/>
  <c r="O83" i="90" s="1"/>
  <c r="N83" i="90"/>
  <c r="W83" i="90"/>
  <c r="X83" i="90" s="1"/>
  <c r="M84" i="90"/>
  <c r="O84" i="90" s="1"/>
  <c r="N84" i="90"/>
  <c r="X84" i="90" s="1"/>
  <c r="W84" i="90"/>
  <c r="M85" i="90"/>
  <c r="O85" i="90" s="1"/>
  <c r="N85" i="90"/>
  <c r="W85" i="90"/>
  <c r="X85" i="90" s="1"/>
  <c r="M86" i="90"/>
  <c r="N86" i="90"/>
  <c r="O86" i="90"/>
  <c r="W86" i="90"/>
  <c r="X86" i="90" s="1"/>
  <c r="M87" i="90"/>
  <c r="O87" i="90" s="1"/>
  <c r="N87" i="90"/>
  <c r="W87" i="90"/>
  <c r="X87" i="90" s="1"/>
  <c r="M88" i="90"/>
  <c r="O88" i="90" s="1"/>
  <c r="N88" i="90"/>
  <c r="X88" i="90" s="1"/>
  <c r="Q88" i="90"/>
  <c r="R88" i="90" s="1"/>
  <c r="W88" i="90"/>
  <c r="M89" i="90"/>
  <c r="O89" i="90" s="1"/>
  <c r="N89" i="90"/>
  <c r="W89" i="90"/>
  <c r="X89" i="90" s="1"/>
  <c r="M90" i="90"/>
  <c r="N90" i="90"/>
  <c r="O90" i="90"/>
  <c r="W90" i="90"/>
  <c r="X90" i="90" s="1"/>
  <c r="M91" i="90"/>
  <c r="O91" i="90" s="1"/>
  <c r="N91" i="90"/>
  <c r="W91" i="90"/>
  <c r="X91" i="90" s="1"/>
  <c r="M92" i="90"/>
  <c r="O92" i="90" s="1"/>
  <c r="N92" i="90"/>
  <c r="X92" i="90" s="1"/>
  <c r="W92" i="90"/>
  <c r="M93" i="90"/>
  <c r="O93" i="90" s="1"/>
  <c r="N93" i="90"/>
  <c r="T93" i="90"/>
  <c r="U93" i="90"/>
  <c r="W93" i="90"/>
  <c r="X93" i="90" s="1"/>
  <c r="F47" i="89"/>
  <c r="J47" i="89" s="1"/>
  <c r="F48" i="89"/>
  <c r="H48" i="89"/>
  <c r="G48" i="89" s="1"/>
  <c r="M48" i="89"/>
  <c r="M49" i="89" s="1"/>
  <c r="M50" i="89" s="1"/>
  <c r="M51" i="89" s="1"/>
  <c r="M52" i="89" s="1"/>
  <c r="M53" i="89" s="1"/>
  <c r="M54" i="89" s="1"/>
  <c r="M55" i="89" s="1"/>
  <c r="M56" i="89" s="1"/>
  <c r="M57" i="89" s="1"/>
  <c r="M58" i="89" s="1"/>
  <c r="F49" i="89"/>
  <c r="G49" i="89"/>
  <c r="H49" i="89"/>
  <c r="F50" i="89"/>
  <c r="H50" i="89"/>
  <c r="G50" i="89" s="1"/>
  <c r="F51" i="89"/>
  <c r="G51" i="89"/>
  <c r="H51" i="89"/>
  <c r="F52" i="89"/>
  <c r="H52" i="89"/>
  <c r="G52" i="89" s="1"/>
  <c r="F53" i="89"/>
  <c r="G53" i="89"/>
  <c r="H53" i="89"/>
  <c r="F54" i="89"/>
  <c r="H54" i="89"/>
  <c r="G54" i="89" s="1"/>
  <c r="F55" i="89"/>
  <c r="G55" i="89"/>
  <c r="H55" i="89"/>
  <c r="F56" i="89"/>
  <c r="H56" i="89"/>
  <c r="G56" i="89" s="1"/>
  <c r="F57" i="89"/>
  <c r="H57" i="89"/>
  <c r="F58" i="89"/>
  <c r="H58" i="89"/>
  <c r="G58" i="89" s="1"/>
  <c r="F66" i="89"/>
  <c r="G66" i="89"/>
  <c r="H66" i="89"/>
  <c r="K66" i="89"/>
  <c r="I66" i="89" s="1"/>
  <c r="I67" i="89" s="1"/>
  <c r="F67" i="89"/>
  <c r="H67" i="89"/>
  <c r="G67" i="89" s="1"/>
  <c r="M67" i="89"/>
  <c r="M68" i="89" s="1"/>
  <c r="M69" i="89" s="1"/>
  <c r="M70" i="89" s="1"/>
  <c r="M71" i="89" s="1"/>
  <c r="F68" i="89"/>
  <c r="G68" i="89" s="1"/>
  <c r="H68" i="89"/>
  <c r="I68" i="89" s="1"/>
  <c r="I69" i="89" s="1"/>
  <c r="F69" i="89"/>
  <c r="H69" i="89"/>
  <c r="G69" i="89" s="1"/>
  <c r="F70" i="89"/>
  <c r="G70" i="89" s="1"/>
  <c r="H70" i="89"/>
  <c r="I70" i="89" s="1"/>
  <c r="I71" i="89" s="1"/>
  <c r="F71" i="89"/>
  <c r="H71" i="89"/>
  <c r="G71" i="89" s="1"/>
  <c r="F72" i="89"/>
  <c r="F73" i="89"/>
  <c r="L73" i="89"/>
  <c r="F74" i="89"/>
  <c r="F75" i="89"/>
  <c r="L75" i="89"/>
  <c r="F76" i="89"/>
  <c r="H76" i="89"/>
  <c r="F77" i="89"/>
  <c r="L77" i="89"/>
  <c r="J21" i="88"/>
  <c r="K21" i="88"/>
  <c r="M21" i="88"/>
  <c r="J22" i="88"/>
  <c r="K22" i="88"/>
  <c r="M22" i="88" s="1"/>
  <c r="J23" i="88"/>
  <c r="K23" i="88"/>
  <c r="M23" i="88" s="1"/>
  <c r="J24" i="88"/>
  <c r="K24" i="88"/>
  <c r="M24" i="88" s="1"/>
  <c r="J25" i="88"/>
  <c r="K25" i="88"/>
  <c r="M25" i="88"/>
  <c r="O40" i="88" s="1"/>
  <c r="P40" i="88" s="1"/>
  <c r="Q40" i="88" s="1"/>
  <c r="O31" i="88"/>
  <c r="K33" i="88"/>
  <c r="L33" i="88" s="1"/>
  <c r="K34" i="88"/>
  <c r="L34" i="88" s="1"/>
  <c r="K35" i="88"/>
  <c r="L35" i="88" s="1"/>
  <c r="M35" i="88" s="1"/>
  <c r="K36" i="88"/>
  <c r="L36" i="88" s="1"/>
  <c r="K37" i="88"/>
  <c r="L37" i="88" s="1"/>
  <c r="M37" i="88" s="1"/>
  <c r="K38" i="88"/>
  <c r="L38" i="88" s="1"/>
  <c r="K39" i="88"/>
  <c r="L39" i="88" s="1"/>
  <c r="M39" i="88" s="1"/>
  <c r="K40" i="88"/>
  <c r="L40" i="88" s="1"/>
  <c r="K41" i="88"/>
  <c r="L41" i="88" s="1"/>
  <c r="M41" i="88" s="1"/>
  <c r="K43" i="88"/>
  <c r="L43" i="88" s="1"/>
  <c r="K44" i="88"/>
  <c r="L44" i="88" s="1"/>
  <c r="M44" i="88" s="1"/>
  <c r="K45" i="88"/>
  <c r="L45" i="88" s="1"/>
  <c r="K46" i="88"/>
  <c r="L46" i="88" s="1"/>
  <c r="M46" i="88" s="1"/>
  <c r="K47" i="88"/>
  <c r="L47" i="88" s="1"/>
  <c r="K48" i="88"/>
  <c r="L48" i="88" s="1"/>
  <c r="M48" i="88" s="1"/>
  <c r="K49" i="88"/>
  <c r="L49" i="88" s="1"/>
  <c r="K51" i="88"/>
  <c r="K54" i="88" s="1"/>
  <c r="S54" i="88"/>
  <c r="J18" i="82"/>
  <c r="K18" i="82"/>
  <c r="J19" i="82"/>
  <c r="J23" i="82" s="1"/>
  <c r="K35" i="82" s="1"/>
  <c r="K19" i="82"/>
  <c r="K23" i="82" s="1"/>
  <c r="J20" i="82"/>
  <c r="K20" i="82"/>
  <c r="J21" i="82"/>
  <c r="K21" i="82"/>
  <c r="J22" i="82"/>
  <c r="K22" i="82"/>
  <c r="J27" i="82"/>
  <c r="K27" i="82"/>
  <c r="L27" i="82"/>
  <c r="M27" i="82"/>
  <c r="J28" i="82"/>
  <c r="L28" i="82" s="1"/>
  <c r="K28" i="82"/>
  <c r="K32" i="82" s="1"/>
  <c r="M28" i="82"/>
  <c r="J29" i="82"/>
  <c r="K29" i="82"/>
  <c r="L29" i="82"/>
  <c r="M29" i="82"/>
  <c r="J30" i="82"/>
  <c r="K30" i="82"/>
  <c r="L30" i="82"/>
  <c r="M30" i="82"/>
  <c r="J31" i="82"/>
  <c r="L31" i="82" s="1"/>
  <c r="K31" i="82"/>
  <c r="M31" i="82"/>
  <c r="J25" i="81"/>
  <c r="I29" i="81"/>
  <c r="M29" i="81" s="1"/>
  <c r="I30" i="81"/>
  <c r="M30" i="81" s="1"/>
  <c r="J35" i="81"/>
  <c r="K36" i="81" s="1"/>
  <c r="K38" i="81" s="1"/>
  <c r="J36" i="81"/>
  <c r="J37" i="81"/>
  <c r="K37" i="81"/>
  <c r="J38" i="81"/>
  <c r="J41" i="81"/>
  <c r="J43" i="81" s="1"/>
  <c r="K51" i="81"/>
  <c r="K56" i="81"/>
  <c r="K59" i="81"/>
  <c r="J21" i="80"/>
  <c r="K21" i="80"/>
  <c r="K29" i="80" s="1"/>
  <c r="L21" i="80"/>
  <c r="M59" i="80" s="1"/>
  <c r="M65" i="80" s="1"/>
  <c r="M21" i="80"/>
  <c r="M46" i="80" s="1"/>
  <c r="J22" i="80"/>
  <c r="K60" i="80" s="1"/>
  <c r="K22" i="80"/>
  <c r="L60" i="80" s="1"/>
  <c r="L22" i="80"/>
  <c r="J24" i="80"/>
  <c r="K24" i="80"/>
  <c r="L24" i="80"/>
  <c r="L26" i="80" s="1"/>
  <c r="L28" i="80" s="1"/>
  <c r="M66" i="80" s="1"/>
  <c r="M68" i="80" s="1"/>
  <c r="M24" i="80"/>
  <c r="J25" i="80"/>
  <c r="K25" i="80"/>
  <c r="K26" i="80" s="1"/>
  <c r="K28" i="80" s="1"/>
  <c r="L66" i="80" s="1"/>
  <c r="L68" i="80" s="1"/>
  <c r="L25" i="80"/>
  <c r="C27" i="80"/>
  <c r="D27" i="80"/>
  <c r="E27" i="80"/>
  <c r="J27" i="80"/>
  <c r="M27" i="80" s="1"/>
  <c r="K27" i="80"/>
  <c r="L27" i="80"/>
  <c r="J29" i="80"/>
  <c r="J37" i="80"/>
  <c r="K37" i="80"/>
  <c r="L37" i="80"/>
  <c r="K57" i="80"/>
  <c r="L57" i="80"/>
  <c r="M57" i="80"/>
  <c r="K58" i="80"/>
  <c r="L58" i="80"/>
  <c r="M58" i="80"/>
  <c r="N58" i="80" s="1"/>
  <c r="K59" i="80"/>
  <c r="N59" i="80" s="1"/>
  <c r="L59" i="80"/>
  <c r="M60" i="80"/>
  <c r="M62" i="80" s="1"/>
  <c r="M63" i="80" s="1"/>
  <c r="M64" i="80" s="1"/>
  <c r="K61" i="80"/>
  <c r="L61" i="80"/>
  <c r="M61" i="80"/>
  <c r="N61" i="80" s="1"/>
  <c r="K70" i="80"/>
  <c r="L70" i="80"/>
  <c r="L88" i="80" s="1"/>
  <c r="M70" i="80"/>
  <c r="M88" i="80" s="1"/>
  <c r="M73" i="80"/>
  <c r="M79" i="80"/>
  <c r="K85" i="80"/>
  <c r="L85" i="80"/>
  <c r="M85" i="80"/>
  <c r="K88" i="80"/>
  <c r="M91" i="80"/>
  <c r="M94" i="80"/>
  <c r="I25" i="79"/>
  <c r="I28" i="79"/>
  <c r="I29" i="79"/>
  <c r="I32" i="79"/>
  <c r="L37" i="79" s="1"/>
  <c r="I33" i="79"/>
  <c r="J37" i="79"/>
  <c r="K39" i="79" s="1"/>
  <c r="K37" i="79"/>
  <c r="J38" i="79"/>
  <c r="K38" i="79"/>
  <c r="L38" i="79" s="1"/>
  <c r="I43" i="79"/>
  <c r="I46" i="79"/>
  <c r="J55" i="79" s="1"/>
  <c r="K57" i="79" s="1"/>
  <c r="I47" i="79"/>
  <c r="J56" i="79" s="1"/>
  <c r="I50" i="79"/>
  <c r="L55" i="79" s="1"/>
  <c r="L57" i="79" s="1"/>
  <c r="M57" i="79" s="1"/>
  <c r="I51" i="79"/>
  <c r="L56" i="79" s="1"/>
  <c r="K55" i="79"/>
  <c r="K56" i="79"/>
  <c r="J67" i="79"/>
  <c r="K83" i="79" s="1"/>
  <c r="I73" i="79"/>
  <c r="J73" i="79"/>
  <c r="I74" i="79"/>
  <c r="J74" i="79"/>
  <c r="J84" i="79" s="1"/>
  <c r="J83" i="79"/>
  <c r="M83" i="79"/>
  <c r="M85" i="79" s="1"/>
  <c r="M84" i="79"/>
  <c r="J28" i="78"/>
  <c r="K28" i="78"/>
  <c r="L28" i="78"/>
  <c r="L32" i="78" s="1"/>
  <c r="M28" i="78"/>
  <c r="J29" i="78"/>
  <c r="K29" i="78"/>
  <c r="L29" i="78"/>
  <c r="J30" i="78"/>
  <c r="J32" i="78" s="1"/>
  <c r="K30" i="78"/>
  <c r="L30" i="78"/>
  <c r="J31" i="78"/>
  <c r="K31" i="78"/>
  <c r="L31" i="78"/>
  <c r="J34" i="78"/>
  <c r="M30" i="78" s="1"/>
  <c r="K34" i="78"/>
  <c r="L34" i="78"/>
  <c r="B17" i="77"/>
  <c r="B18" i="77" s="1"/>
  <c r="B19" i="77" s="1"/>
  <c r="B20" i="77" s="1"/>
  <c r="B21" i="77" s="1"/>
  <c r="B22" i="77" s="1"/>
  <c r="B23" i="77" s="1"/>
  <c r="B24" i="77" s="1"/>
  <c r="B25" i="77" s="1"/>
  <c r="B26" i="77" s="1"/>
  <c r="B27" i="77" s="1"/>
  <c r="B28" i="77" s="1"/>
  <c r="C29" i="77"/>
  <c r="D29" i="77"/>
  <c r="E29" i="77"/>
  <c r="I43" i="77"/>
  <c r="J43" i="77"/>
  <c r="K43" i="77"/>
  <c r="L43" i="77"/>
  <c r="M47" i="77" s="1"/>
  <c r="N47" i="77" s="1"/>
  <c r="I44" i="77"/>
  <c r="J44" i="77"/>
  <c r="K44" i="77"/>
  <c r="L44" i="77"/>
  <c r="M44" i="77"/>
  <c r="N44" i="77"/>
  <c r="I45" i="77"/>
  <c r="J45" i="77"/>
  <c r="K45" i="77"/>
  <c r="L45" i="77" s="1"/>
  <c r="I46" i="77"/>
  <c r="J46" i="77"/>
  <c r="K46" i="77"/>
  <c r="L46" i="77"/>
  <c r="M46" i="77"/>
  <c r="N46" i="77"/>
  <c r="I47" i="77"/>
  <c r="J47" i="77"/>
  <c r="L47" i="77"/>
  <c r="J24" i="76"/>
  <c r="K24" i="76"/>
  <c r="L24" i="76"/>
  <c r="J26" i="76"/>
  <c r="J29" i="76" s="1"/>
  <c r="J31" i="76" s="1"/>
  <c r="J39" i="76" s="1"/>
  <c r="J42" i="76" s="1"/>
  <c r="K26" i="76"/>
  <c r="K29" i="76" s="1"/>
  <c r="K31" i="76" s="1"/>
  <c r="L26" i="76"/>
  <c r="L29" i="76" s="1"/>
  <c r="L31" i="76" s="1"/>
  <c r="L39" i="76" s="1"/>
  <c r="L42" i="76" s="1"/>
  <c r="L54" i="76" s="1"/>
  <c r="L56" i="76" s="1"/>
  <c r="J27" i="76"/>
  <c r="J52" i="76" s="1"/>
  <c r="K27" i="76"/>
  <c r="L27" i="76"/>
  <c r="I28" i="76"/>
  <c r="J28" i="76"/>
  <c r="K28" i="76"/>
  <c r="L28" i="76"/>
  <c r="J37" i="76"/>
  <c r="K37" i="76"/>
  <c r="L37" i="76"/>
  <c r="I40" i="76"/>
  <c r="J40" i="76"/>
  <c r="K40" i="76"/>
  <c r="K75" i="76" s="1"/>
  <c r="L40" i="76"/>
  <c r="J44" i="76"/>
  <c r="K44" i="76"/>
  <c r="K50" i="76" s="1"/>
  <c r="L44" i="76"/>
  <c r="L45" i="76"/>
  <c r="J46" i="76"/>
  <c r="K46" i="76"/>
  <c r="L46" i="76"/>
  <c r="J47" i="76"/>
  <c r="J50" i="76" s="1"/>
  <c r="K47" i="76"/>
  <c r="L47" i="76"/>
  <c r="L50" i="76" s="1"/>
  <c r="J48" i="76"/>
  <c r="K48" i="76"/>
  <c r="L48" i="76"/>
  <c r="K52" i="76"/>
  <c r="L52" i="76"/>
  <c r="L79" i="76"/>
  <c r="L80" i="76"/>
  <c r="L85" i="76" s="1"/>
  <c r="L83" i="76"/>
  <c r="L84" i="76"/>
  <c r="M27" i="75"/>
  <c r="M28" i="75"/>
  <c r="M29" i="75"/>
  <c r="M30" i="75"/>
  <c r="M31" i="75"/>
  <c r="M32" i="75"/>
  <c r="M40" i="75" s="1"/>
  <c r="M42" i="75" s="1"/>
  <c r="M33" i="75"/>
  <c r="M34" i="75"/>
  <c r="M35" i="75"/>
  <c r="M36" i="75"/>
  <c r="M37" i="75"/>
  <c r="M38" i="75"/>
  <c r="M39" i="75"/>
  <c r="L40" i="75"/>
  <c r="N44" i="75"/>
  <c r="N47" i="75" s="1"/>
  <c r="O44" i="75"/>
  <c r="O52" i="75" s="1"/>
  <c r="P44" i="75"/>
  <c r="P57" i="75" s="1"/>
  <c r="Q44" i="75"/>
  <c r="Q50" i="75" s="1"/>
  <c r="N46" i="75"/>
  <c r="R46" i="75"/>
  <c r="R47" i="75"/>
  <c r="R48" i="75"/>
  <c r="N49" i="75"/>
  <c r="S49" i="75" s="1"/>
  <c r="T49" i="75" s="1"/>
  <c r="O49" i="75"/>
  <c r="P49" i="75"/>
  <c r="Q49" i="75"/>
  <c r="R49" i="75"/>
  <c r="R50" i="75"/>
  <c r="N51" i="75"/>
  <c r="O51" i="75"/>
  <c r="R51" i="75"/>
  <c r="N52" i="75"/>
  <c r="R52" i="75"/>
  <c r="R53" i="75"/>
  <c r="N54" i="75"/>
  <c r="O54" i="75"/>
  <c r="P54" i="75"/>
  <c r="R54" i="75"/>
  <c r="N55" i="75"/>
  <c r="R55" i="75"/>
  <c r="N56" i="75"/>
  <c r="O56" i="75"/>
  <c r="P56" i="75"/>
  <c r="R56" i="75"/>
  <c r="N57" i="75"/>
  <c r="R57" i="75"/>
  <c r="N58" i="75"/>
  <c r="R58" i="75"/>
  <c r="J21" i="74"/>
  <c r="J23" i="74" s="1"/>
  <c r="K21" i="74"/>
  <c r="K23" i="74" s="1"/>
  <c r="L21" i="74"/>
  <c r="L23" i="74" s="1"/>
  <c r="M21" i="74"/>
  <c r="M46" i="74" s="1"/>
  <c r="J22" i="74"/>
  <c r="K22" i="74"/>
  <c r="L22" i="74"/>
  <c r="J24" i="74"/>
  <c r="J26" i="74" s="1"/>
  <c r="K24" i="74"/>
  <c r="K26" i="74" s="1"/>
  <c r="K28" i="74" s="1"/>
  <c r="L66" i="74" s="1"/>
  <c r="L68" i="74" s="1"/>
  <c r="L86" i="74" s="1"/>
  <c r="L87" i="74" s="1"/>
  <c r="L24" i="74"/>
  <c r="L26" i="74" s="1"/>
  <c r="L28" i="74" s="1"/>
  <c r="M66" i="74" s="1"/>
  <c r="M68" i="74" s="1"/>
  <c r="M24" i="74"/>
  <c r="J25" i="74"/>
  <c r="M25" i="74" s="1"/>
  <c r="K25" i="74"/>
  <c r="L25" i="74"/>
  <c r="J27" i="74"/>
  <c r="K27" i="74"/>
  <c r="L27" i="74"/>
  <c r="M27" i="74"/>
  <c r="K58" i="74"/>
  <c r="N58" i="74" s="1"/>
  <c r="L58" i="74"/>
  <c r="M58" i="74"/>
  <c r="K59" i="74"/>
  <c r="L59" i="74"/>
  <c r="M59" i="74"/>
  <c r="M65" i="74" s="1"/>
  <c r="N59" i="74"/>
  <c r="L60" i="74"/>
  <c r="M60" i="74"/>
  <c r="K61" i="74"/>
  <c r="N61" i="74" s="1"/>
  <c r="L61" i="74"/>
  <c r="L63" i="74" s="1"/>
  <c r="L64" i="74" s="1"/>
  <c r="M61" i="74"/>
  <c r="L62" i="74"/>
  <c r="M62" i="74"/>
  <c r="M63" i="74" s="1"/>
  <c r="M64" i="74" s="1"/>
  <c r="K67" i="74"/>
  <c r="L67" i="74"/>
  <c r="M67" i="74" s="1"/>
  <c r="K70" i="74"/>
  <c r="K88" i="74" s="1"/>
  <c r="L70" i="74"/>
  <c r="M70" i="74"/>
  <c r="M88" i="74" s="1"/>
  <c r="M73" i="74"/>
  <c r="M79" i="74"/>
  <c r="L88" i="74"/>
  <c r="M91" i="74"/>
  <c r="M94" i="74"/>
  <c r="C28" i="73"/>
  <c r="C29" i="73"/>
  <c r="C30" i="73" s="1"/>
  <c r="C31" i="73" s="1"/>
  <c r="D39" i="73"/>
  <c r="F39" i="73" s="1"/>
  <c r="F45" i="73" s="1"/>
  <c r="C49" i="73" s="1"/>
  <c r="C52" i="73" s="1"/>
  <c r="C53" i="73" s="1"/>
  <c r="C66" i="73" s="1"/>
  <c r="E39" i="73"/>
  <c r="D40" i="73"/>
  <c r="E40" i="73"/>
  <c r="F40" i="73"/>
  <c r="D41" i="73"/>
  <c r="F41" i="73" s="1"/>
  <c r="E41" i="73"/>
  <c r="D42" i="73"/>
  <c r="F42" i="73" s="1"/>
  <c r="E42" i="73"/>
  <c r="D43" i="73"/>
  <c r="F43" i="73" s="1"/>
  <c r="E43" i="73"/>
  <c r="D44" i="73"/>
  <c r="E44" i="73"/>
  <c r="F44" i="73"/>
  <c r="C47" i="73"/>
  <c r="C59" i="73"/>
  <c r="C60" i="73"/>
  <c r="C61" i="73"/>
  <c r="C63" i="73"/>
  <c r="J25" i="72"/>
  <c r="J47" i="72" s="1"/>
  <c r="K25" i="72"/>
  <c r="L25" i="72"/>
  <c r="M25" i="72" s="1"/>
  <c r="O25" i="72"/>
  <c r="X25" i="72"/>
  <c r="Y25" i="72"/>
  <c r="J26" i="72"/>
  <c r="K26" i="72"/>
  <c r="S26" i="72" s="1"/>
  <c r="L26" i="72"/>
  <c r="M26" i="72"/>
  <c r="O26" i="72"/>
  <c r="R26" i="72"/>
  <c r="X26" i="72"/>
  <c r="Y26" i="72"/>
  <c r="J27" i="72"/>
  <c r="K27" i="72"/>
  <c r="L27" i="72"/>
  <c r="M27" i="72" s="1"/>
  <c r="R27" i="72" s="1"/>
  <c r="X27" i="72"/>
  <c r="Y27" i="72"/>
  <c r="J28" i="72"/>
  <c r="K28" i="72"/>
  <c r="R28" i="72" s="1"/>
  <c r="L28" i="72"/>
  <c r="M28" i="72"/>
  <c r="O28" i="72"/>
  <c r="J29" i="72"/>
  <c r="K29" i="72"/>
  <c r="L29" i="72"/>
  <c r="N29" i="72" s="1"/>
  <c r="O29" i="72" s="1"/>
  <c r="M29" i="72"/>
  <c r="K40" i="72"/>
  <c r="K41" i="72"/>
  <c r="L41" i="72"/>
  <c r="Y48" i="72" s="1"/>
  <c r="K42" i="72"/>
  <c r="L42" i="72"/>
  <c r="O50" i="72" s="1"/>
  <c r="S50" i="72" s="1"/>
  <c r="U50" i="72" s="1"/>
  <c r="Y46" i="72"/>
  <c r="K47" i="72"/>
  <c r="O47" i="72"/>
  <c r="S47" i="72"/>
  <c r="X47" i="72"/>
  <c r="M48" i="72"/>
  <c r="O48" i="72"/>
  <c r="S48" i="72" s="1"/>
  <c r="R48" i="72"/>
  <c r="X48" i="72"/>
  <c r="M49" i="72"/>
  <c r="R49" i="72" s="1"/>
  <c r="N49" i="72"/>
  <c r="O49" i="72" s="1"/>
  <c r="S49" i="72" s="1"/>
  <c r="U49" i="72" s="1"/>
  <c r="X49" i="72"/>
  <c r="Y49" i="72"/>
  <c r="M50" i="72"/>
  <c r="R50" i="72"/>
  <c r="M51" i="72"/>
  <c r="N51" i="72"/>
  <c r="O51" i="72"/>
  <c r="R51" i="72"/>
  <c r="S51" i="72"/>
  <c r="U51" i="72"/>
  <c r="J15" i="71"/>
  <c r="J19" i="71"/>
  <c r="J22" i="71"/>
  <c r="J25" i="71"/>
  <c r="E40" i="71"/>
  <c r="I40" i="71"/>
  <c r="E41" i="71"/>
  <c r="I41" i="71"/>
  <c r="J41" i="71" s="1"/>
  <c r="I42" i="71"/>
  <c r="J42" i="71" s="1"/>
  <c r="I56" i="71"/>
  <c r="I57" i="71"/>
  <c r="I58" i="71"/>
  <c r="I60" i="71"/>
  <c r="J27" i="70"/>
  <c r="K27" i="70"/>
  <c r="M27" i="70" s="1"/>
  <c r="L27" i="70"/>
  <c r="L48" i="70" s="1"/>
  <c r="J28" i="70"/>
  <c r="J63" i="70" s="1"/>
  <c r="K28" i="70"/>
  <c r="K63" i="70" s="1"/>
  <c r="L28" i="70"/>
  <c r="L63" i="70" s="1"/>
  <c r="M28" i="70"/>
  <c r="J29" i="70"/>
  <c r="J30" i="70"/>
  <c r="K30" i="70"/>
  <c r="M30" i="70" s="1"/>
  <c r="L30" i="70"/>
  <c r="D31" i="70"/>
  <c r="J71" i="70" s="1"/>
  <c r="E31" i="70"/>
  <c r="K71" i="70" s="1"/>
  <c r="F31" i="70"/>
  <c r="L71" i="70" s="1"/>
  <c r="J31" i="70"/>
  <c r="M31" i="70" s="1"/>
  <c r="K31" i="70"/>
  <c r="L31" i="70"/>
  <c r="L32" i="70"/>
  <c r="L34" i="70" s="1"/>
  <c r="J33" i="70"/>
  <c r="K33" i="70"/>
  <c r="L33" i="70"/>
  <c r="L49" i="70" s="1"/>
  <c r="M33" i="70"/>
  <c r="J35" i="70"/>
  <c r="L35" i="70"/>
  <c r="J48" i="70"/>
  <c r="J50" i="70" s="1"/>
  <c r="K48" i="70"/>
  <c r="K50" i="70" s="1"/>
  <c r="J49" i="70"/>
  <c r="J59" i="70"/>
  <c r="M59" i="70" s="1"/>
  <c r="K59" i="70"/>
  <c r="L59" i="70"/>
  <c r="J60" i="70"/>
  <c r="L60" i="70"/>
  <c r="J61" i="70"/>
  <c r="K61" i="70"/>
  <c r="J62" i="70"/>
  <c r="L67" i="70"/>
  <c r="L69" i="70" s="1"/>
  <c r="J68" i="70"/>
  <c r="K68" i="70"/>
  <c r="L68" i="70" s="1"/>
  <c r="J74" i="70"/>
  <c r="L74" i="70" s="1"/>
  <c r="L80" i="70"/>
  <c r="M28" i="69"/>
  <c r="L37" i="69"/>
  <c r="M37" i="69"/>
  <c r="N37" i="69"/>
  <c r="L38" i="69"/>
  <c r="M38" i="69"/>
  <c r="N38" i="69"/>
  <c r="N39" i="69"/>
  <c r="J20" i="68"/>
  <c r="K20" i="68"/>
  <c r="L20" i="68"/>
  <c r="J21" i="68"/>
  <c r="K21" i="68"/>
  <c r="L21" i="68"/>
  <c r="J22" i="68"/>
  <c r="K22" i="68"/>
  <c r="L22" i="68"/>
  <c r="J23" i="68"/>
  <c r="J26" i="68" s="1"/>
  <c r="K23" i="68"/>
  <c r="L23" i="68"/>
  <c r="J24" i="68"/>
  <c r="K24" i="68"/>
  <c r="L24" i="68"/>
  <c r="J25" i="68"/>
  <c r="K25" i="68"/>
  <c r="L25" i="68"/>
  <c r="L26" i="68"/>
  <c r="J27" i="68"/>
  <c r="K27" i="68"/>
  <c r="L27" i="68"/>
  <c r="I30" i="67"/>
  <c r="J33" i="67"/>
  <c r="J34" i="67" s="1"/>
  <c r="K33" i="67"/>
  <c r="K34" i="67" s="1"/>
  <c r="L33" i="67"/>
  <c r="J41" i="67"/>
  <c r="L41" i="67"/>
  <c r="J42" i="67"/>
  <c r="L42" i="67"/>
  <c r="J43" i="67"/>
  <c r="L43" i="67"/>
  <c r="J44" i="67"/>
  <c r="L44" i="67"/>
  <c r="J46" i="67"/>
  <c r="L46" i="67"/>
  <c r="J50" i="67"/>
  <c r="L50" i="67"/>
  <c r="J51" i="67"/>
  <c r="J57" i="67" s="1"/>
  <c r="L51" i="67"/>
  <c r="J52" i="67"/>
  <c r="L52" i="67"/>
  <c r="J53" i="67"/>
  <c r="L53" i="67"/>
  <c r="J54" i="67"/>
  <c r="L54" i="67"/>
  <c r="J55" i="67"/>
  <c r="L55" i="67"/>
  <c r="L62" i="67"/>
  <c r="L66" i="67" s="1"/>
  <c r="N66" i="67" s="1"/>
  <c r="K31" i="66"/>
  <c r="K32" i="66"/>
  <c r="K33" i="66"/>
  <c r="H38" i="66"/>
  <c r="J38" i="66"/>
  <c r="K38" i="66"/>
  <c r="L38" i="66"/>
  <c r="Q38" i="66" s="1"/>
  <c r="M38" i="66"/>
  <c r="J39" i="66"/>
  <c r="P39" i="66" s="1"/>
  <c r="K39" i="66"/>
  <c r="L39" i="66"/>
  <c r="M39" i="66"/>
  <c r="J40" i="66"/>
  <c r="Q40" i="66" s="1"/>
  <c r="K40" i="66"/>
  <c r="L40" i="66"/>
  <c r="H40" i="66" s="1"/>
  <c r="M40" i="66"/>
  <c r="N40" i="66"/>
  <c r="P40" i="66"/>
  <c r="J44" i="66"/>
  <c r="K44" i="66"/>
  <c r="N44" i="66"/>
  <c r="O44" i="66"/>
  <c r="H44" i="66" s="1"/>
  <c r="P44" i="66"/>
  <c r="C45" i="66"/>
  <c r="D45" i="66"/>
  <c r="E45" i="66"/>
  <c r="K45" i="66"/>
  <c r="K51" i="66" s="1"/>
  <c r="L45" i="66"/>
  <c r="L51" i="66" s="1"/>
  <c r="P45" i="66"/>
  <c r="C46" i="66"/>
  <c r="D46" i="66"/>
  <c r="E46" i="66"/>
  <c r="L46" i="66"/>
  <c r="J46" i="66" s="1"/>
  <c r="N46" i="66" s="1"/>
  <c r="M46" i="66"/>
  <c r="M52" i="66" s="1"/>
  <c r="O46" i="66"/>
  <c r="P46" i="66"/>
  <c r="K50" i="66"/>
  <c r="J50" i="66" s="1"/>
  <c r="P50" i="66"/>
  <c r="P51" i="66"/>
  <c r="L52" i="66"/>
  <c r="L58" i="66" s="1"/>
  <c r="P52" i="66"/>
  <c r="K56" i="66"/>
  <c r="K62" i="66" s="1"/>
  <c r="P56" i="66"/>
  <c r="P57" i="66"/>
  <c r="P58" i="66"/>
  <c r="P62" i="66"/>
  <c r="P63" i="66"/>
  <c r="P64" i="66"/>
  <c r="O29" i="65"/>
  <c r="O30" i="65"/>
  <c r="O31" i="65"/>
  <c r="L32" i="65"/>
  <c r="O32" i="65"/>
  <c r="O36" i="65"/>
  <c r="O39" i="65" s="1"/>
  <c r="O37" i="65"/>
  <c r="O38" i="65"/>
  <c r="L39" i="65"/>
  <c r="C27" i="62"/>
  <c r="D27" i="62"/>
  <c r="E27" i="62"/>
  <c r="B17" i="59"/>
  <c r="B18" i="59"/>
  <c r="B19" i="59" s="1"/>
  <c r="B20" i="59" s="1"/>
  <c r="B21" i="59" s="1"/>
  <c r="B22" i="59" s="1"/>
  <c r="B23" i="59" s="1"/>
  <c r="B24" i="59" s="1"/>
  <c r="B25" i="59" s="1"/>
  <c r="B26" i="59" s="1"/>
  <c r="B27" i="59" s="1"/>
  <c r="B28" i="59" s="1"/>
  <c r="C29" i="59"/>
  <c r="D29" i="59"/>
  <c r="E29" i="59"/>
  <c r="E40" i="53"/>
  <c r="E41" i="53"/>
  <c r="D31" i="52"/>
  <c r="E31" i="52"/>
  <c r="F31" i="52"/>
  <c r="C45" i="48"/>
  <c r="D45" i="48"/>
  <c r="E45" i="48"/>
  <c r="C46" i="48"/>
  <c r="D46" i="48"/>
  <c r="E46" i="48"/>
  <c r="J19" i="46"/>
  <c r="K19" i="46"/>
  <c r="L19" i="46"/>
  <c r="J20" i="46"/>
  <c r="J25" i="46" s="1"/>
  <c r="J28" i="46" s="1"/>
  <c r="K20" i="46"/>
  <c r="K25" i="46" s="1"/>
  <c r="K28" i="46" s="1"/>
  <c r="L20" i="46"/>
  <c r="L25" i="46" s="1"/>
  <c r="L28" i="46" s="1"/>
  <c r="J21" i="46"/>
  <c r="K21" i="46"/>
  <c r="L21" i="46"/>
  <c r="J22" i="46"/>
  <c r="K22" i="46"/>
  <c r="L22" i="46"/>
  <c r="J27" i="46"/>
  <c r="K27" i="46"/>
  <c r="L27" i="46"/>
  <c r="L32" i="46"/>
  <c r="L33" i="46"/>
  <c r="J22" i="45"/>
  <c r="J23" i="45"/>
  <c r="J24" i="45"/>
  <c r="J26" i="45"/>
  <c r="J27" i="45"/>
  <c r="J28" i="45"/>
  <c r="J29" i="45"/>
  <c r="J31" i="45"/>
  <c r="J32" i="45"/>
  <c r="J33" i="45"/>
  <c r="J35" i="45"/>
  <c r="J36" i="45"/>
  <c r="I54" i="45"/>
  <c r="I71" i="45" s="1"/>
  <c r="I55" i="45"/>
  <c r="J55" i="45" s="1"/>
  <c r="I56" i="45"/>
  <c r="J56" i="45"/>
  <c r="I57" i="45"/>
  <c r="J57" i="45" s="1"/>
  <c r="I58" i="45"/>
  <c r="J58" i="45"/>
  <c r="I59" i="45"/>
  <c r="J59" i="45" s="1"/>
  <c r="I60" i="45"/>
  <c r="J60" i="45" s="1"/>
  <c r="I61" i="45"/>
  <c r="J61" i="45"/>
  <c r="I62" i="45"/>
  <c r="J62" i="45"/>
  <c r="I63" i="45"/>
  <c r="J63" i="45" s="1"/>
  <c r="I64" i="45"/>
  <c r="J64" i="45"/>
  <c r="I65" i="45"/>
  <c r="J65" i="45" s="1"/>
  <c r="I66" i="45"/>
  <c r="J66" i="45" s="1"/>
  <c r="I67" i="45"/>
  <c r="J67" i="45"/>
  <c r="I68" i="45"/>
  <c r="J68" i="45"/>
  <c r="I69" i="45"/>
  <c r="J69" i="45" s="1"/>
  <c r="I70" i="45"/>
  <c r="J70" i="45"/>
  <c r="K78" i="45"/>
  <c r="K79" i="45"/>
  <c r="J26" i="44"/>
  <c r="J27" i="44"/>
  <c r="J31" i="44" s="1"/>
  <c r="K31" i="44" s="1"/>
  <c r="K35" i="44" s="1"/>
  <c r="K44" i="44" s="1"/>
  <c r="J30" i="44"/>
  <c r="K30" i="44" s="1"/>
  <c r="K34" i="44" s="1"/>
  <c r="J39" i="44"/>
  <c r="J40" i="44"/>
  <c r="K40" i="44" s="1"/>
  <c r="J44" i="44"/>
  <c r="I25" i="43"/>
  <c r="I26" i="43"/>
  <c r="J26" i="43"/>
  <c r="K30" i="43" s="1"/>
  <c r="M26" i="43"/>
  <c r="N26" i="43"/>
  <c r="I27" i="43"/>
  <c r="J27" i="43"/>
  <c r="M27" i="43"/>
  <c r="N27" i="43"/>
  <c r="O27" i="43" s="1"/>
  <c r="I28" i="43"/>
  <c r="J28" i="43"/>
  <c r="M28" i="43"/>
  <c r="N28" i="43"/>
  <c r="O29" i="43" s="1"/>
  <c r="I29" i="43"/>
  <c r="J29" i="43"/>
  <c r="K33" i="43" s="1"/>
  <c r="M29" i="43"/>
  <c r="N29" i="43"/>
  <c r="I30" i="43"/>
  <c r="J30" i="43"/>
  <c r="I31" i="43"/>
  <c r="J31" i="43"/>
  <c r="K31" i="43"/>
  <c r="I32" i="43"/>
  <c r="J32" i="43"/>
  <c r="K32" i="43"/>
  <c r="I33" i="43"/>
  <c r="J33" i="43"/>
  <c r="I34" i="43"/>
  <c r="J34" i="43"/>
  <c r="K34" i="43"/>
  <c r="I35" i="43"/>
  <c r="J35" i="43"/>
  <c r="K35" i="43"/>
  <c r="I36" i="43"/>
  <c r="J36" i="43"/>
  <c r="K36" i="43"/>
  <c r="I37" i="43"/>
  <c r="J37" i="43"/>
  <c r="K37" i="43"/>
  <c r="I38" i="43"/>
  <c r="J38" i="43"/>
  <c r="K38" i="43"/>
  <c r="I39" i="43"/>
  <c r="J39" i="43"/>
  <c r="K39" i="43"/>
  <c r="I40" i="43"/>
  <c r="J40" i="43"/>
  <c r="K40" i="43"/>
  <c r="I41" i="43"/>
  <c r="J41" i="43"/>
  <c r="K41" i="43"/>
  <c r="D43" i="42"/>
  <c r="D49" i="42" s="1"/>
  <c r="E49" i="42" s="1"/>
  <c r="F43" i="42"/>
  <c r="L43" i="42"/>
  <c r="D44" i="42"/>
  <c r="J44" i="42"/>
  <c r="L44" i="42"/>
  <c r="D45" i="42"/>
  <c r="L45" i="42"/>
  <c r="F48" i="42"/>
  <c r="G48" i="42"/>
  <c r="J48" i="42"/>
  <c r="K48" i="42" s="1"/>
  <c r="F49" i="42"/>
  <c r="G49" i="42" s="1"/>
  <c r="J49" i="42"/>
  <c r="K49" i="42" s="1"/>
  <c r="F50" i="42"/>
  <c r="G50" i="42"/>
  <c r="J50" i="42"/>
  <c r="K50" i="42"/>
  <c r="L50" i="42"/>
  <c r="M50" i="42" s="1"/>
  <c r="F51" i="42"/>
  <c r="G51" i="42"/>
  <c r="J51" i="42"/>
  <c r="K51" i="42" s="1"/>
  <c r="F52" i="42"/>
  <c r="G52" i="42" s="1"/>
  <c r="J52" i="42"/>
  <c r="K52" i="42" s="1"/>
  <c r="F53" i="42"/>
  <c r="G53" i="42"/>
  <c r="J53" i="42"/>
  <c r="K53" i="42"/>
  <c r="L53" i="42"/>
  <c r="M53" i="42" s="1"/>
  <c r="F54" i="42"/>
  <c r="G54" i="42"/>
  <c r="J54" i="42"/>
  <c r="K54" i="42" s="1"/>
  <c r="F55" i="42"/>
  <c r="G55" i="42" s="1"/>
  <c r="J55" i="42"/>
  <c r="K55" i="42" s="1"/>
  <c r="F56" i="42"/>
  <c r="G56" i="42"/>
  <c r="J56" i="42"/>
  <c r="K56" i="42"/>
  <c r="L56" i="42"/>
  <c r="M56" i="42" s="1"/>
  <c r="F57" i="42"/>
  <c r="G57" i="42"/>
  <c r="J57" i="42"/>
  <c r="K57" i="42" s="1"/>
  <c r="D62" i="42"/>
  <c r="E62" i="42" s="1"/>
  <c r="G62" i="42" s="1"/>
  <c r="F62" i="42"/>
  <c r="K62" i="42"/>
  <c r="K77" i="42"/>
  <c r="L77" i="42"/>
  <c r="K79" i="42"/>
  <c r="L79" i="42"/>
  <c r="K80" i="42"/>
  <c r="L80" i="42"/>
  <c r="J16" i="41"/>
  <c r="K16" i="41"/>
  <c r="L16" i="41"/>
  <c r="M16" i="41"/>
  <c r="J17" i="41"/>
  <c r="I42" i="41" s="1"/>
  <c r="K17" i="41"/>
  <c r="L17" i="41"/>
  <c r="M17" i="41"/>
  <c r="J19" i="41"/>
  <c r="K19" i="41"/>
  <c r="L19" i="41"/>
  <c r="M19" i="41"/>
  <c r="J21" i="41"/>
  <c r="K21" i="41"/>
  <c r="L21" i="41"/>
  <c r="M21" i="41"/>
  <c r="J22" i="41"/>
  <c r="K22" i="41"/>
  <c r="L22" i="41"/>
  <c r="M22" i="41"/>
  <c r="I26" i="40"/>
  <c r="I27" i="40"/>
  <c r="I33" i="40" s="1"/>
  <c r="I28" i="40"/>
  <c r="I29" i="40" s="1"/>
  <c r="J29" i="40" s="1"/>
  <c r="J28" i="40" s="1"/>
  <c r="J27" i="40" s="1"/>
  <c r="I30" i="40"/>
  <c r="J30" i="40" s="1"/>
  <c r="J32" i="40" s="1"/>
  <c r="I32" i="40"/>
  <c r="I37" i="40"/>
  <c r="I38" i="40"/>
  <c r="I41" i="40"/>
  <c r="I43" i="40" s="1"/>
  <c r="J41" i="40"/>
  <c r="J43" i="40" s="1"/>
  <c r="C30" i="39"/>
  <c r="C31" i="39" s="1"/>
  <c r="C32" i="39" s="1"/>
  <c r="C35" i="39" s="1"/>
  <c r="C36" i="39" s="1"/>
  <c r="C37" i="39" s="1"/>
  <c r="C47" i="39" s="1"/>
  <c r="C49" i="39" s="1"/>
  <c r="C44" i="39"/>
  <c r="J26" i="38"/>
  <c r="K26" i="38"/>
  <c r="L26" i="38"/>
  <c r="J27" i="38"/>
  <c r="K27" i="38"/>
  <c r="L27" i="38" s="1"/>
  <c r="J28" i="38"/>
  <c r="K28" i="38"/>
  <c r="L28" i="38" s="1"/>
  <c r="J29" i="38"/>
  <c r="K29" i="38"/>
  <c r="L29" i="38"/>
  <c r="J30" i="38"/>
  <c r="K30" i="38"/>
  <c r="L30" i="38"/>
  <c r="J31" i="38"/>
  <c r="K31" i="38"/>
  <c r="L31" i="38" s="1"/>
  <c r="J32" i="38"/>
  <c r="K32" i="38"/>
  <c r="L32" i="38" s="1"/>
  <c r="J33" i="38"/>
  <c r="K33" i="38"/>
  <c r="L33" i="38"/>
  <c r="J34" i="38"/>
  <c r="K34" i="38"/>
  <c r="L34" i="38"/>
  <c r="J35" i="38"/>
  <c r="K35" i="38"/>
  <c r="L35" i="38" s="1"/>
  <c r="J36" i="38"/>
  <c r="K36" i="38"/>
  <c r="L36" i="38" s="1"/>
  <c r="J37" i="38"/>
  <c r="K37" i="38"/>
  <c r="L37" i="38"/>
  <c r="K43" i="38"/>
  <c r="O19" i="37"/>
  <c r="Q19" i="37" s="1"/>
  <c r="P19" i="37"/>
  <c r="O20" i="37"/>
  <c r="Q20" i="37" s="1"/>
  <c r="P20" i="37"/>
  <c r="O21" i="37"/>
  <c r="P21" i="37"/>
  <c r="Q21" i="37"/>
  <c r="O22" i="37"/>
  <c r="P22" i="37"/>
  <c r="O23" i="37"/>
  <c r="Q23" i="37" s="1"/>
  <c r="P23" i="37"/>
  <c r="O24" i="37"/>
  <c r="Q24" i="37" s="1"/>
  <c r="P24" i="37"/>
  <c r="O25" i="37"/>
  <c r="P25" i="37"/>
  <c r="Q25" i="37"/>
  <c r="O26" i="37"/>
  <c r="Q26" i="37" s="1"/>
  <c r="P26" i="37"/>
  <c r="O27" i="37"/>
  <c r="Q27" i="37" s="1"/>
  <c r="P27" i="37"/>
  <c r="O28" i="37"/>
  <c r="Q28" i="37" s="1"/>
  <c r="P28" i="37"/>
  <c r="O29" i="37"/>
  <c r="P29" i="37"/>
  <c r="Q29" i="37"/>
  <c r="S35" i="37"/>
  <c r="U35" i="37"/>
  <c r="S36" i="37"/>
  <c r="U36" i="37"/>
  <c r="R37" i="37"/>
  <c r="S37" i="37"/>
  <c r="T37" i="37"/>
  <c r="U37" i="37"/>
  <c r="R38" i="37"/>
  <c r="S38" i="37"/>
  <c r="T38" i="37"/>
  <c r="U38" i="37"/>
  <c r="R39" i="37"/>
  <c r="S39" i="37"/>
  <c r="T39" i="37" s="1"/>
  <c r="U39" i="37" s="1"/>
  <c r="R40" i="37"/>
  <c r="S40" i="37"/>
  <c r="T40" i="37"/>
  <c r="U40" i="37"/>
  <c r="Q41" i="37"/>
  <c r="U45" i="37"/>
  <c r="T45" i="37" s="1"/>
  <c r="S49" i="37"/>
  <c r="U49" i="37"/>
  <c r="R50" i="37"/>
  <c r="T50" i="37" s="1"/>
  <c r="S50" i="37"/>
  <c r="R51" i="37"/>
  <c r="S51" i="37"/>
  <c r="T51" i="37"/>
  <c r="U51" i="37"/>
  <c r="T52" i="37"/>
  <c r="U52" i="37"/>
  <c r="R53" i="37"/>
  <c r="T53" i="37" s="1"/>
  <c r="U53" i="37" s="1"/>
  <c r="S53" i="37"/>
  <c r="Q54" i="37"/>
  <c r="K64" i="37"/>
  <c r="L64" i="37"/>
  <c r="M64" i="37"/>
  <c r="O64" i="37" s="1"/>
  <c r="Q64" i="37" s="1"/>
  <c r="N64" i="37"/>
  <c r="P64" i="37" s="1"/>
  <c r="P71" i="37" s="1"/>
  <c r="K65" i="37"/>
  <c r="L65" i="37"/>
  <c r="N65" i="37" s="1"/>
  <c r="P65" i="37" s="1"/>
  <c r="M65" i="37"/>
  <c r="O65" i="37" s="1"/>
  <c r="Q65" i="37" s="1"/>
  <c r="K66" i="37"/>
  <c r="L66" i="37"/>
  <c r="N66" i="37" s="1"/>
  <c r="P66" i="37" s="1"/>
  <c r="M66" i="37"/>
  <c r="O66" i="37"/>
  <c r="Q66" i="37"/>
  <c r="Q71" i="37"/>
  <c r="Q72" i="37"/>
  <c r="Q41" i="36"/>
  <c r="S41" i="36"/>
  <c r="T41" i="36" s="1"/>
  <c r="K70" i="36" s="1"/>
  <c r="Q42" i="36"/>
  <c r="S42" i="36"/>
  <c r="T42" i="36" s="1"/>
  <c r="W42" i="36" s="1"/>
  <c r="Q43" i="36"/>
  <c r="S43" i="36"/>
  <c r="T43" i="36" s="1"/>
  <c r="W43" i="36"/>
  <c r="Q45" i="36"/>
  <c r="R45" i="36"/>
  <c r="S45" i="36"/>
  <c r="T45" i="36" s="1"/>
  <c r="Q46" i="36"/>
  <c r="R46" i="36"/>
  <c r="S46" i="36"/>
  <c r="T46" i="36"/>
  <c r="V46" i="36" s="1"/>
  <c r="Q47" i="36"/>
  <c r="R47" i="36"/>
  <c r="S47" i="36"/>
  <c r="T47" i="36" s="1"/>
  <c r="Q48" i="36"/>
  <c r="R48" i="36"/>
  <c r="S48" i="36"/>
  <c r="T48" i="36" s="1"/>
  <c r="Q49" i="36"/>
  <c r="R49" i="36"/>
  <c r="S49" i="36"/>
  <c r="T49" i="36" s="1"/>
  <c r="Q50" i="36"/>
  <c r="R50" i="36"/>
  <c r="S50" i="36"/>
  <c r="T50" i="36"/>
  <c r="V50" i="36" s="1"/>
  <c r="W50" i="36"/>
  <c r="Q52" i="36"/>
  <c r="R52" i="36"/>
  <c r="S52" i="36"/>
  <c r="T52" i="36" s="1"/>
  <c r="Q53" i="36"/>
  <c r="R53" i="36"/>
  <c r="S53" i="36"/>
  <c r="T53" i="36"/>
  <c r="V53" i="36" s="1"/>
  <c r="Q54" i="36"/>
  <c r="R54" i="36"/>
  <c r="S54" i="36"/>
  <c r="T54" i="36" s="1"/>
  <c r="Q55" i="36"/>
  <c r="R55" i="36"/>
  <c r="S55" i="36"/>
  <c r="T55" i="36" s="1"/>
  <c r="Q56" i="36"/>
  <c r="R56" i="36"/>
  <c r="S56" i="36"/>
  <c r="T56" i="36" s="1"/>
  <c r="Q61" i="36"/>
  <c r="R61" i="36"/>
  <c r="S61" i="36"/>
  <c r="T61" i="36"/>
  <c r="V61" i="36" s="1"/>
  <c r="W61" i="36"/>
  <c r="Q63" i="36"/>
  <c r="R63" i="36"/>
  <c r="S63" i="36"/>
  <c r="T63" i="36" s="1"/>
  <c r="Q70" i="36"/>
  <c r="J71" i="36"/>
  <c r="J72" i="36" s="1"/>
  <c r="M71" i="36"/>
  <c r="P71" i="36"/>
  <c r="R71" i="36"/>
  <c r="AB71" i="36" s="1"/>
  <c r="S71" i="36"/>
  <c r="AB72" i="36"/>
  <c r="J73" i="36"/>
  <c r="J74" i="36" s="1"/>
  <c r="J75" i="36"/>
  <c r="J76" i="36" s="1"/>
  <c r="J77" i="36" s="1"/>
  <c r="J78" i="36" s="1"/>
  <c r="AB76" i="36"/>
  <c r="Q87" i="36"/>
  <c r="S87" i="36"/>
  <c r="T87" i="36"/>
  <c r="W87" i="36"/>
  <c r="Q88" i="36"/>
  <c r="S88" i="36"/>
  <c r="T88" i="36" s="1"/>
  <c r="Q89" i="36"/>
  <c r="S89" i="36"/>
  <c r="T89" i="36" s="1"/>
  <c r="W89" i="36" s="1"/>
  <c r="Q91" i="36"/>
  <c r="S91" i="36"/>
  <c r="T91" i="36"/>
  <c r="V91" i="36" s="1"/>
  <c r="Q92" i="36"/>
  <c r="S92" i="36"/>
  <c r="T92" i="36" s="1"/>
  <c r="Q93" i="36"/>
  <c r="S93" i="36"/>
  <c r="T93" i="36"/>
  <c r="V93" i="36"/>
  <c r="W93" i="36"/>
  <c r="Q94" i="36"/>
  <c r="S94" i="36"/>
  <c r="T94" i="36"/>
  <c r="V94" i="36"/>
  <c r="Q95" i="36"/>
  <c r="S95" i="36"/>
  <c r="T95" i="36" s="1"/>
  <c r="Q96" i="36"/>
  <c r="S96" i="36"/>
  <c r="T96" i="36"/>
  <c r="V96" i="36" s="1"/>
  <c r="W96" i="36"/>
  <c r="Q98" i="36"/>
  <c r="S98" i="36"/>
  <c r="T98" i="36"/>
  <c r="V98" i="36" s="1"/>
  <c r="Q99" i="36"/>
  <c r="S99" i="36"/>
  <c r="T99" i="36"/>
  <c r="V99" i="36"/>
  <c r="W99" i="36"/>
  <c r="Q100" i="36"/>
  <c r="S100" i="36"/>
  <c r="T100" i="36"/>
  <c r="Q101" i="36"/>
  <c r="V101" i="36" s="1"/>
  <c r="W101" i="36" s="1"/>
  <c r="S101" i="36"/>
  <c r="T101" i="36"/>
  <c r="Q102" i="36"/>
  <c r="S102" i="36"/>
  <c r="T102" i="36" s="1"/>
  <c r="V102" i="36"/>
  <c r="W102" i="36"/>
  <c r="Q107" i="36"/>
  <c r="S107" i="36"/>
  <c r="T107" i="36" s="1"/>
  <c r="W107" i="36" s="1"/>
  <c r="Q109" i="36"/>
  <c r="S109" i="36"/>
  <c r="T109" i="36"/>
  <c r="V109" i="36"/>
  <c r="W109" i="36" s="1"/>
  <c r="J117" i="36"/>
  <c r="J118" i="36" s="1"/>
  <c r="J119" i="36" s="1"/>
  <c r="J120" i="36" s="1"/>
  <c r="J121" i="36" s="1"/>
  <c r="J122" i="36" s="1"/>
  <c r="J123" i="36" s="1"/>
  <c r="J124" i="36" s="1"/>
  <c r="M117" i="36"/>
  <c r="P117" i="36"/>
  <c r="P118" i="36"/>
  <c r="K118" i="36" s="1"/>
  <c r="Q118" i="36"/>
  <c r="AB118" i="36"/>
  <c r="AB122" i="36"/>
  <c r="J28" i="35"/>
  <c r="J36" i="35" s="1"/>
  <c r="K28" i="35"/>
  <c r="K59" i="35" s="1"/>
  <c r="J30" i="35"/>
  <c r="K30" i="35"/>
  <c r="J31" i="35"/>
  <c r="K31" i="35"/>
  <c r="L31" i="35"/>
  <c r="J32" i="35"/>
  <c r="K32" i="35"/>
  <c r="L32" i="35"/>
  <c r="J33" i="35"/>
  <c r="K33" i="35"/>
  <c r="L33" i="35"/>
  <c r="J34" i="35"/>
  <c r="K34" i="35"/>
  <c r="L34" i="35"/>
  <c r="J37" i="35"/>
  <c r="K37" i="35"/>
  <c r="L59" i="35"/>
  <c r="M59" i="35"/>
  <c r="M67" i="35" s="1"/>
  <c r="J61" i="35"/>
  <c r="K61" i="35"/>
  <c r="L61" i="35"/>
  <c r="M61" i="35"/>
  <c r="J62" i="35"/>
  <c r="K62" i="35"/>
  <c r="L62" i="35"/>
  <c r="M62" i="35"/>
  <c r="N62" i="35"/>
  <c r="J63" i="35"/>
  <c r="K63" i="35"/>
  <c r="L63" i="35"/>
  <c r="M63" i="35"/>
  <c r="N63" i="35"/>
  <c r="J64" i="35"/>
  <c r="K64" i="35"/>
  <c r="L64" i="35"/>
  <c r="M64" i="35"/>
  <c r="N64" i="35"/>
  <c r="J65" i="35"/>
  <c r="K65" i="35"/>
  <c r="L65" i="35"/>
  <c r="M65" i="35"/>
  <c r="N65" i="35"/>
  <c r="J68" i="35"/>
  <c r="K68" i="35"/>
  <c r="L68" i="35"/>
  <c r="M68" i="35"/>
  <c r="K26" i="34"/>
  <c r="L26" i="34"/>
  <c r="L30" i="34" s="1"/>
  <c r="L59" i="34" s="1"/>
  <c r="O26" i="34"/>
  <c r="R26" i="34"/>
  <c r="K27" i="34"/>
  <c r="L27" i="34"/>
  <c r="L31" i="34" s="1"/>
  <c r="L60" i="34" s="1"/>
  <c r="M27" i="34"/>
  <c r="N27" i="34" s="1"/>
  <c r="O27" i="34"/>
  <c r="R27" i="34"/>
  <c r="K28" i="34"/>
  <c r="M28" i="34" s="1"/>
  <c r="N28" i="34" s="1"/>
  <c r="L28" i="34"/>
  <c r="R28" i="34"/>
  <c r="K29" i="34"/>
  <c r="K58" i="34" s="1"/>
  <c r="L29" i="34"/>
  <c r="L58" i="34" s="1"/>
  <c r="M29" i="34"/>
  <c r="N29" i="34" s="1"/>
  <c r="R29" i="34"/>
  <c r="K30" i="34"/>
  <c r="O30" i="34"/>
  <c r="R30" i="34"/>
  <c r="K31" i="34"/>
  <c r="O31" i="34"/>
  <c r="R31" i="34"/>
  <c r="R60" i="34" s="1"/>
  <c r="T60" i="34" s="1"/>
  <c r="K32" i="34"/>
  <c r="L32" i="34"/>
  <c r="M32" i="34" s="1"/>
  <c r="N32" i="34" s="1"/>
  <c r="R32" i="34"/>
  <c r="K48" i="34"/>
  <c r="L48" i="34"/>
  <c r="M48" i="34" s="1"/>
  <c r="K55" i="34" s="1"/>
  <c r="K49" i="34"/>
  <c r="L49" i="34"/>
  <c r="M49" i="34" s="1"/>
  <c r="K56" i="34" s="1"/>
  <c r="K60" i="34" s="1"/>
  <c r="M60" i="34" s="1"/>
  <c r="N60" i="34" s="1"/>
  <c r="K50" i="34"/>
  <c r="L50" i="34"/>
  <c r="M50" i="34" s="1"/>
  <c r="K51" i="34"/>
  <c r="L51" i="34"/>
  <c r="M51" i="34"/>
  <c r="O55" i="34"/>
  <c r="R55" i="34"/>
  <c r="S55" i="34" s="1"/>
  <c r="S59" i="34" s="1"/>
  <c r="L56" i="34"/>
  <c r="M56" i="34"/>
  <c r="N56" i="34" s="1"/>
  <c r="O56" i="34"/>
  <c r="P56" i="34"/>
  <c r="R56" i="34"/>
  <c r="S56" i="34" s="1"/>
  <c r="S60" i="34" s="1"/>
  <c r="L57" i="34"/>
  <c r="R57" i="34"/>
  <c r="R58" i="34"/>
  <c r="T58" i="34"/>
  <c r="O59" i="34"/>
  <c r="R59" i="34"/>
  <c r="O60" i="34"/>
  <c r="L61" i="34"/>
  <c r="R61" i="34"/>
  <c r="I18" i="33"/>
  <c r="I19" i="33" s="1"/>
  <c r="I20" i="33" s="1"/>
  <c r="I24" i="33"/>
  <c r="L24" i="33" s="1"/>
  <c r="I25" i="33"/>
  <c r="L25" i="33"/>
  <c r="I26" i="33"/>
  <c r="L26" i="33"/>
  <c r="I27" i="33"/>
  <c r="L27" i="33" s="1"/>
  <c r="I28" i="33"/>
  <c r="L28" i="33" s="1"/>
  <c r="I29" i="33"/>
  <c r="L29" i="33"/>
  <c r="I30" i="33"/>
  <c r="L30" i="33" s="1"/>
  <c r="I31" i="33"/>
  <c r="L31" i="33"/>
  <c r="I32" i="33"/>
  <c r="L32" i="33"/>
  <c r="I39" i="33"/>
  <c r="K39" i="33"/>
  <c r="I40" i="33"/>
  <c r="K40" i="33"/>
  <c r="I41" i="33"/>
  <c r="K41" i="33"/>
  <c r="I42" i="33"/>
  <c r="K42" i="33"/>
  <c r="I43" i="33"/>
  <c r="K43" i="33"/>
  <c r="I44" i="33"/>
  <c r="K44" i="33"/>
  <c r="I45" i="33"/>
  <c r="K45" i="33"/>
  <c r="I46" i="33"/>
  <c r="J45" i="33" s="1"/>
  <c r="K46" i="33"/>
  <c r="I47" i="33"/>
  <c r="J47" i="33" s="1"/>
  <c r="K47" i="33"/>
  <c r="M53" i="33"/>
  <c r="K72" i="33"/>
  <c r="L72" i="33"/>
  <c r="M72" i="33"/>
  <c r="O72" i="33"/>
  <c r="P72" i="33"/>
  <c r="Q72" i="33" s="1"/>
  <c r="K73" i="33"/>
  <c r="L73" i="33"/>
  <c r="M73" i="33"/>
  <c r="N73" i="33"/>
  <c r="O73" i="33"/>
  <c r="P73" i="33"/>
  <c r="Q73" i="33"/>
  <c r="K74" i="33"/>
  <c r="L74" i="33"/>
  <c r="O74" i="33"/>
  <c r="K75" i="33"/>
  <c r="L75" i="33"/>
  <c r="M75" i="33"/>
  <c r="O75" i="33"/>
  <c r="P75" i="33"/>
  <c r="K76" i="33"/>
  <c r="P76" i="33" s="1"/>
  <c r="L76" i="33"/>
  <c r="O76" i="33"/>
  <c r="Q76" i="33"/>
  <c r="K77" i="33"/>
  <c r="L77" i="33"/>
  <c r="O77" i="33"/>
  <c r="K78" i="33"/>
  <c r="Q78" i="33" s="1"/>
  <c r="L78" i="33"/>
  <c r="M78" i="33"/>
  <c r="N78" i="33"/>
  <c r="O78" i="33"/>
  <c r="P78" i="33"/>
  <c r="K79" i="33"/>
  <c r="L79" i="33"/>
  <c r="O79" i="33"/>
  <c r="K80" i="33"/>
  <c r="L80" i="33"/>
  <c r="M80" i="33"/>
  <c r="N80" i="33"/>
  <c r="O80" i="33"/>
  <c r="P80" i="33"/>
  <c r="Q80" i="33"/>
  <c r="M88" i="33"/>
  <c r="Q88" i="33"/>
  <c r="I106" i="33" s="1"/>
  <c r="L25" i="32"/>
  <c r="M25" i="32"/>
  <c r="N25" i="32"/>
  <c r="O25" i="32"/>
  <c r="L26" i="32"/>
  <c r="M26" i="32"/>
  <c r="N26" i="32"/>
  <c r="L27" i="32"/>
  <c r="M27" i="32"/>
  <c r="N27" i="32"/>
  <c r="O27" i="32"/>
  <c r="L32" i="32"/>
  <c r="M32" i="32"/>
  <c r="N32" i="32"/>
  <c r="L33" i="32"/>
  <c r="O33" i="32" s="1"/>
  <c r="M33" i="32"/>
  <c r="N33" i="32"/>
  <c r="L34" i="32"/>
  <c r="M34" i="32"/>
  <c r="N34" i="32"/>
  <c r="O34" i="32"/>
  <c r="M23" i="31"/>
  <c r="M26" i="31" s="1"/>
  <c r="N23" i="31"/>
  <c r="O23" i="31" s="1"/>
  <c r="Q23" i="31"/>
  <c r="R23" i="31"/>
  <c r="M24" i="31"/>
  <c r="N24" i="31"/>
  <c r="Q24" i="31"/>
  <c r="R24" i="31"/>
  <c r="M25" i="31"/>
  <c r="N25" i="31"/>
  <c r="O25" i="31" s="1"/>
  <c r="Q25" i="31"/>
  <c r="R25" i="31"/>
  <c r="Q26" i="31"/>
  <c r="P45" i="31"/>
  <c r="P47" i="31" s="1"/>
  <c r="Q45" i="31"/>
  <c r="Q47" i="31" s="1"/>
  <c r="R47" i="31" s="1"/>
  <c r="R45" i="31"/>
  <c r="P46" i="31"/>
  <c r="Q46" i="31"/>
  <c r="R46" i="31"/>
  <c r="L49" i="31"/>
  <c r="M49" i="31"/>
  <c r="L50" i="31"/>
  <c r="M50" i="31"/>
  <c r="L51" i="31"/>
  <c r="M51" i="31"/>
  <c r="L52" i="31"/>
  <c r="M52" i="31"/>
  <c r="L53" i="31"/>
  <c r="M53" i="31"/>
  <c r="L54" i="31"/>
  <c r="M54" i="31"/>
  <c r="N60" i="31"/>
  <c r="O60" i="31"/>
  <c r="O66" i="31" s="1"/>
  <c r="P60" i="31"/>
  <c r="Q60" i="31"/>
  <c r="N61" i="31"/>
  <c r="N66" i="31" s="1"/>
  <c r="O61" i="31"/>
  <c r="P61" i="31"/>
  <c r="Q61" i="31"/>
  <c r="N62" i="31"/>
  <c r="O62" i="31"/>
  <c r="P62" i="31"/>
  <c r="P66" i="31" s="1"/>
  <c r="Q62" i="31"/>
  <c r="N63" i="31"/>
  <c r="O63" i="31"/>
  <c r="P63" i="31"/>
  <c r="Q63" i="31"/>
  <c r="N64" i="31"/>
  <c r="O64" i="31"/>
  <c r="P64" i="31"/>
  <c r="Q64" i="31"/>
  <c r="N65" i="31"/>
  <c r="O65" i="31"/>
  <c r="P65" i="31"/>
  <c r="Q65" i="31"/>
  <c r="M79" i="31"/>
  <c r="N79" i="31"/>
  <c r="M80" i="31"/>
  <c r="N80" i="31"/>
  <c r="O80" i="31"/>
  <c r="M83" i="31"/>
  <c r="N83" i="31"/>
  <c r="O83" i="31"/>
  <c r="O84" i="31"/>
  <c r="M86" i="31"/>
  <c r="N86" i="31"/>
  <c r="O86" i="31"/>
  <c r="I27" i="30"/>
  <c r="J27" i="30"/>
  <c r="I28" i="30"/>
  <c r="J28" i="30"/>
  <c r="I29" i="30"/>
  <c r="L27" i="30" s="1"/>
  <c r="J29" i="30"/>
  <c r="I30" i="30"/>
  <c r="J30" i="30"/>
  <c r="I31" i="30"/>
  <c r="J31" i="30"/>
  <c r="I32" i="30"/>
  <c r="J32" i="30"/>
  <c r="M32" i="30" s="1"/>
  <c r="I33" i="30"/>
  <c r="J33" i="30"/>
  <c r="I34" i="30"/>
  <c r="J34" i="30"/>
  <c r="I35" i="30"/>
  <c r="J35" i="30"/>
  <c r="I36" i="30"/>
  <c r="J36" i="30"/>
  <c r="I37" i="30"/>
  <c r="J37" i="30"/>
  <c r="I38" i="30"/>
  <c r="J38" i="30"/>
  <c r="L38" i="30"/>
  <c r="M38" i="30"/>
  <c r="M39" i="30" s="1"/>
  <c r="I39" i="30"/>
  <c r="J39" i="30"/>
  <c r="I40" i="30"/>
  <c r="J40" i="30"/>
  <c r="I41" i="30"/>
  <c r="J41" i="30"/>
  <c r="I42" i="30"/>
  <c r="J42" i="30"/>
  <c r="I43" i="30"/>
  <c r="J43" i="30"/>
  <c r="K49" i="30"/>
  <c r="K55" i="30"/>
  <c r="K56" i="30"/>
  <c r="K57" i="30"/>
  <c r="J62" i="30" s="1"/>
  <c r="J78" i="30" s="1"/>
  <c r="L78" i="30" s="1"/>
  <c r="J61" i="30"/>
  <c r="J63" i="30"/>
  <c r="J64" i="30"/>
  <c r="J80" i="30" s="1"/>
  <c r="J65" i="30"/>
  <c r="J66" i="30"/>
  <c r="J68" i="30"/>
  <c r="J84" i="30" s="1"/>
  <c r="L84" i="30" s="1"/>
  <c r="K77" i="30"/>
  <c r="K78" i="30"/>
  <c r="K83" i="30" s="1"/>
  <c r="J79" i="30"/>
  <c r="L79" i="30" s="1"/>
  <c r="K79" i="30"/>
  <c r="K80" i="30"/>
  <c r="L80" i="30"/>
  <c r="J81" i="30"/>
  <c r="L81" i="30" s="1"/>
  <c r="K81" i="30"/>
  <c r="J82" i="30"/>
  <c r="K82" i="30"/>
  <c r="L82" i="30"/>
  <c r="K84" i="30"/>
  <c r="M18" i="29"/>
  <c r="N18" i="29" s="1"/>
  <c r="O18" i="29"/>
  <c r="O24" i="29" s="1"/>
  <c r="Q18" i="29"/>
  <c r="M19" i="29"/>
  <c r="N19" i="29"/>
  <c r="O19" i="29"/>
  <c r="P19" i="29"/>
  <c r="Q19" i="29"/>
  <c r="M20" i="29"/>
  <c r="N20" i="29"/>
  <c r="O20" i="29"/>
  <c r="Q20" i="29"/>
  <c r="M21" i="29"/>
  <c r="N21" i="29" s="1"/>
  <c r="P21" i="29" s="1"/>
  <c r="O21" i="29"/>
  <c r="Q21" i="29"/>
  <c r="M22" i="29"/>
  <c r="N22" i="29"/>
  <c r="O22" i="29"/>
  <c r="P22" i="29"/>
  <c r="Q22" i="29"/>
  <c r="M23" i="29"/>
  <c r="N23" i="29"/>
  <c r="O23" i="29"/>
  <c r="Q23" i="29"/>
  <c r="M29" i="29"/>
  <c r="N29" i="29" s="1"/>
  <c r="N35" i="29" s="1"/>
  <c r="O29" i="29"/>
  <c r="P29" i="29"/>
  <c r="Q29" i="29"/>
  <c r="M30" i="29"/>
  <c r="N30" i="29" s="1"/>
  <c r="P30" i="29" s="1"/>
  <c r="O30" i="29"/>
  <c r="Q30" i="29"/>
  <c r="M31" i="29"/>
  <c r="N31" i="29"/>
  <c r="O31" i="29"/>
  <c r="Q31" i="29"/>
  <c r="M32" i="29"/>
  <c r="N32" i="29" s="1"/>
  <c r="O32" i="29"/>
  <c r="P32" i="29"/>
  <c r="Q32" i="29"/>
  <c r="M33" i="29"/>
  <c r="N33" i="29"/>
  <c r="P33" i="29" s="1"/>
  <c r="O33" i="29"/>
  <c r="Q33" i="29"/>
  <c r="M34" i="29"/>
  <c r="N34" i="29"/>
  <c r="Q34" i="29"/>
  <c r="M52" i="29"/>
  <c r="N52" i="29" s="1"/>
  <c r="O52" i="29"/>
  <c r="Q52" i="29"/>
  <c r="M53" i="29"/>
  <c r="N53" i="29"/>
  <c r="P53" i="29" s="1"/>
  <c r="O53" i="29"/>
  <c r="Q53" i="29"/>
  <c r="M54" i="29"/>
  <c r="N54" i="29"/>
  <c r="O54" i="29"/>
  <c r="P54" i="29"/>
  <c r="Q54" i="29"/>
  <c r="M55" i="29"/>
  <c r="N55" i="29" s="1"/>
  <c r="P55" i="29" s="1"/>
  <c r="O55" i="29"/>
  <c r="Q55" i="29"/>
  <c r="M56" i="29"/>
  <c r="N56" i="29"/>
  <c r="O56" i="29"/>
  <c r="P56" i="29"/>
  <c r="Q56" i="29"/>
  <c r="M57" i="29"/>
  <c r="N57" i="29" s="1"/>
  <c r="O57" i="29" s="1"/>
  <c r="O58" i="29" s="1"/>
  <c r="Q57" i="29"/>
  <c r="I28" i="28"/>
  <c r="J28" i="28"/>
  <c r="L28" i="28" s="1"/>
  <c r="K28" i="28"/>
  <c r="I29" i="28"/>
  <c r="J29" i="28" s="1"/>
  <c r="K29" i="28"/>
  <c r="N29" i="28"/>
  <c r="I30" i="28"/>
  <c r="J30" i="28" s="1"/>
  <c r="K30" i="28"/>
  <c r="N30" i="28"/>
  <c r="I31" i="28"/>
  <c r="J31" i="28" s="1"/>
  <c r="L31" i="28" s="1"/>
  <c r="K31" i="28"/>
  <c r="I32" i="28"/>
  <c r="J32" i="28"/>
  <c r="L32" i="28" s="1"/>
  <c r="K32" i="28"/>
  <c r="I33" i="28"/>
  <c r="J33" i="28"/>
  <c r="K33" i="28"/>
  <c r="L33" i="28"/>
  <c r="J54" i="28"/>
  <c r="K54" i="28"/>
  <c r="L54" i="28"/>
  <c r="M54" i="28"/>
  <c r="N54" i="28"/>
  <c r="J55" i="28"/>
  <c r="K55" i="28"/>
  <c r="L55" i="28" s="1"/>
  <c r="N55" i="28" s="1"/>
  <c r="O55" i="28" s="1"/>
  <c r="M55" i="28"/>
  <c r="J56" i="28"/>
  <c r="K56" i="28"/>
  <c r="L56" i="28" s="1"/>
  <c r="N56" i="28" s="1"/>
  <c r="O56" i="28" s="1"/>
  <c r="M56" i="28"/>
  <c r="K36" i="27"/>
  <c r="K37" i="27" s="1"/>
  <c r="K39" i="27" s="1"/>
  <c r="K40" i="27" s="1"/>
  <c r="K42" i="27" s="1"/>
  <c r="L36" i="27"/>
  <c r="L37" i="27" s="1"/>
  <c r="L39" i="27" s="1"/>
  <c r="L40" i="27" s="1"/>
  <c r="L42" i="27" s="1"/>
  <c r="L44" i="27" s="1"/>
  <c r="K38" i="27"/>
  <c r="L38" i="27"/>
  <c r="K41" i="27"/>
  <c r="L41" i="27"/>
  <c r="K56" i="27"/>
  <c r="L56" i="27"/>
  <c r="K57" i="27"/>
  <c r="L57" i="27"/>
  <c r="L59" i="27" s="1"/>
  <c r="L60" i="27" s="1"/>
  <c r="L62" i="27" s="1"/>
  <c r="L64" i="27" s="1"/>
  <c r="K58" i="27"/>
  <c r="K59" i="27" s="1"/>
  <c r="K60" i="27" s="1"/>
  <c r="K62" i="27" s="1"/>
  <c r="L65" i="27" s="1"/>
  <c r="L58" i="27"/>
  <c r="K61" i="27"/>
  <c r="L61" i="27"/>
  <c r="I26" i="6"/>
  <c r="J26" i="6"/>
  <c r="K26" i="6"/>
  <c r="I27" i="6"/>
  <c r="J27" i="6"/>
  <c r="K27" i="6"/>
  <c r="L27" i="6"/>
  <c r="M27" i="6"/>
  <c r="I28" i="6"/>
  <c r="J28" i="6"/>
  <c r="K28" i="6"/>
  <c r="M28" i="6" s="1"/>
  <c r="M33" i="6" s="1"/>
  <c r="L28" i="6"/>
  <c r="I29" i="6"/>
  <c r="J29" i="6"/>
  <c r="K29" i="6"/>
  <c r="L29" i="6"/>
  <c r="M29" i="6"/>
  <c r="I30" i="6"/>
  <c r="J30" i="6"/>
  <c r="K30" i="6"/>
  <c r="L30" i="6"/>
  <c r="M30" i="6"/>
  <c r="I31" i="6"/>
  <c r="J31" i="6"/>
  <c r="L31" i="6" s="1"/>
  <c r="L33" i="6" s="1"/>
  <c r="K31" i="6"/>
  <c r="M31" i="6"/>
  <c r="I32" i="6"/>
  <c r="J32" i="6"/>
  <c r="K32" i="6"/>
  <c r="L32" i="6"/>
  <c r="M32" i="6"/>
  <c r="J33" i="6"/>
  <c r="K33" i="6"/>
  <c r="K35" i="6" s="1"/>
  <c r="O48" i="88" l="1"/>
  <c r="P48" i="88" s="1"/>
  <c r="Q48" i="88" s="1"/>
  <c r="O37" i="88"/>
  <c r="P37" i="88" s="1"/>
  <c r="Q37" i="88" s="1"/>
  <c r="O38" i="88"/>
  <c r="P38" i="88" s="1"/>
  <c r="Q38" i="88" s="1"/>
  <c r="O47" i="88"/>
  <c r="P47" i="88" s="1"/>
  <c r="Q47" i="88" s="1"/>
  <c r="O46" i="88"/>
  <c r="P46" i="88" s="1"/>
  <c r="Q46" i="88" s="1"/>
  <c r="O39" i="88"/>
  <c r="P39" i="88" s="1"/>
  <c r="Q39" i="88" s="1"/>
  <c r="H47" i="89"/>
  <c r="G47" i="89" s="1"/>
  <c r="K47" i="89"/>
  <c r="K32" i="92"/>
  <c r="L33" i="92"/>
  <c r="O36" i="88"/>
  <c r="P36" i="88" s="1"/>
  <c r="Q36" i="88" s="1"/>
  <c r="O45" i="88"/>
  <c r="P45" i="88" s="1"/>
  <c r="O35" i="88"/>
  <c r="P35" i="88" s="1"/>
  <c r="Q35" i="88" s="1"/>
  <c r="O44" i="88"/>
  <c r="P44" i="88" s="1"/>
  <c r="Q44" i="88" s="1"/>
  <c r="Q92" i="90"/>
  <c r="R92" i="90" s="1"/>
  <c r="Q91" i="90"/>
  <c r="R91" i="90" s="1"/>
  <c r="Q90" i="90"/>
  <c r="R90" i="90" s="1"/>
  <c r="O33" i="88"/>
  <c r="P33" i="88" s="1"/>
  <c r="O34" i="88"/>
  <c r="P34" i="88" s="1"/>
  <c r="Q34" i="88" s="1"/>
  <c r="O43" i="88"/>
  <c r="P43" i="88" s="1"/>
  <c r="Q43" i="88" s="1"/>
  <c r="O41" i="88"/>
  <c r="P41" i="88" s="1"/>
  <c r="Q41" i="88" s="1"/>
  <c r="X94" i="90"/>
  <c r="X96" i="90" s="1"/>
  <c r="T85" i="90"/>
  <c r="U85" i="90" s="1"/>
  <c r="T84" i="90"/>
  <c r="U84" i="90" s="1"/>
  <c r="T83" i="90"/>
  <c r="U83" i="90" s="1"/>
  <c r="T81" i="90"/>
  <c r="U81" i="90" s="1"/>
  <c r="T82" i="90"/>
  <c r="U82" i="90" s="1"/>
  <c r="Q80" i="90"/>
  <c r="R80" i="90" s="1"/>
  <c r="Q79" i="90"/>
  <c r="R79" i="90" s="1"/>
  <c r="K63" i="90"/>
  <c r="L63" i="90"/>
  <c r="Q78" i="90"/>
  <c r="R78" i="90" s="1"/>
  <c r="M33" i="88"/>
  <c r="L51" i="88"/>
  <c r="O94" i="90"/>
  <c r="O96" i="90" s="1"/>
  <c r="H77" i="89"/>
  <c r="H75" i="89"/>
  <c r="G75" i="89" s="1"/>
  <c r="Q89" i="90"/>
  <c r="R89" i="90" s="1"/>
  <c r="K67" i="89"/>
  <c r="K68" i="89" s="1"/>
  <c r="K69" i="89" s="1"/>
  <c r="K70" i="89" s="1"/>
  <c r="K71" i="89" s="1"/>
  <c r="K72" i="89" s="1"/>
  <c r="K73" i="89" s="1"/>
  <c r="K74" i="89" s="1"/>
  <c r="K75" i="89" s="1"/>
  <c r="K76" i="89" s="1"/>
  <c r="K77" i="89" s="1"/>
  <c r="T90" i="90"/>
  <c r="U90" i="90" s="1"/>
  <c r="T86" i="90"/>
  <c r="U86" i="90" s="1"/>
  <c r="T78" i="90"/>
  <c r="U78" i="90" s="1"/>
  <c r="U94" i="90" s="1"/>
  <c r="U96" i="90" s="1"/>
  <c r="P13" i="91"/>
  <c r="Q45" i="88"/>
  <c r="Q86" i="90"/>
  <c r="R86" i="90" s="1"/>
  <c r="M60" i="92"/>
  <c r="M63" i="92" s="1"/>
  <c r="L74" i="89"/>
  <c r="T91" i="90"/>
  <c r="U91" i="90" s="1"/>
  <c r="T87" i="90"/>
  <c r="U87" i="90" s="1"/>
  <c r="T79" i="90"/>
  <c r="U79" i="90" s="1"/>
  <c r="O49" i="88"/>
  <c r="P49" i="88" s="1"/>
  <c r="Q49" i="88" s="1"/>
  <c r="L23" i="92"/>
  <c r="H73" i="89"/>
  <c r="M49" i="88"/>
  <c r="M47" i="88"/>
  <c r="M45" i="88"/>
  <c r="M43" i="88"/>
  <c r="M40" i="88"/>
  <c r="M38" i="88"/>
  <c r="M36" i="88"/>
  <c r="M34" i="88"/>
  <c r="L72" i="89"/>
  <c r="Q87" i="90"/>
  <c r="R87" i="90" s="1"/>
  <c r="M15" i="91"/>
  <c r="P12" i="91"/>
  <c r="P15" i="91" s="1"/>
  <c r="M50" i="92"/>
  <c r="M53" i="92" s="1"/>
  <c r="T92" i="90"/>
  <c r="U92" i="90" s="1"/>
  <c r="T88" i="90"/>
  <c r="U88" i="90" s="1"/>
  <c r="L62" i="90"/>
  <c r="Q93" i="90" s="1"/>
  <c r="R93" i="90" s="1"/>
  <c r="K50" i="92"/>
  <c r="P14" i="91"/>
  <c r="M56" i="79"/>
  <c r="O56" i="79" s="1"/>
  <c r="M55" i="79"/>
  <c r="O55" i="79" s="1"/>
  <c r="N50" i="66"/>
  <c r="M30" i="72"/>
  <c r="L65" i="74"/>
  <c r="L69" i="74" s="1"/>
  <c r="L62" i="80"/>
  <c r="L63" i="80" s="1"/>
  <c r="L64" i="80" s="1"/>
  <c r="L65" i="80" s="1"/>
  <c r="L69" i="80" s="1"/>
  <c r="M46" i="72"/>
  <c r="L40" i="72"/>
  <c r="M47" i="72"/>
  <c r="R47" i="72" s="1"/>
  <c r="U48" i="72"/>
  <c r="O41" i="65"/>
  <c r="O45" i="65" s="1"/>
  <c r="K26" i="68"/>
  <c r="L29" i="68" s="1"/>
  <c r="J38" i="68" s="1"/>
  <c r="R29" i="72"/>
  <c r="R25" i="72"/>
  <c r="R30" i="72" s="1"/>
  <c r="M23" i="74"/>
  <c r="L83" i="79"/>
  <c r="N60" i="80"/>
  <c r="K62" i="80"/>
  <c r="H46" i="66"/>
  <c r="Q46" i="66"/>
  <c r="O52" i="66"/>
  <c r="K51" i="70"/>
  <c r="I43" i="71"/>
  <c r="J43" i="71" s="1"/>
  <c r="I64" i="71" s="1"/>
  <c r="I66" i="71" s="1"/>
  <c r="J40" i="71"/>
  <c r="U47" i="72"/>
  <c r="N28" i="69"/>
  <c r="M29" i="69"/>
  <c r="K53" i="66"/>
  <c r="K57" i="66"/>
  <c r="J51" i="66"/>
  <c r="N51" i="66" s="1"/>
  <c r="M29" i="70"/>
  <c r="M58" i="66"/>
  <c r="M53" i="66"/>
  <c r="H39" i="66"/>
  <c r="O45" i="66"/>
  <c r="N39" i="66"/>
  <c r="J64" i="70"/>
  <c r="M63" i="70"/>
  <c r="S58" i="75"/>
  <c r="T58" i="75" s="1"/>
  <c r="S54" i="75"/>
  <c r="T54" i="75" s="1"/>
  <c r="K32" i="78"/>
  <c r="L39" i="79"/>
  <c r="M39" i="79" s="1"/>
  <c r="L86" i="80"/>
  <c r="L87" i="80" s="1"/>
  <c r="M26" i="74"/>
  <c r="J54" i="76"/>
  <c r="J56" i="76" s="1"/>
  <c r="M25" i="80"/>
  <c r="L36" i="82"/>
  <c r="J36" i="82"/>
  <c r="J47" i="82"/>
  <c r="K36" i="82"/>
  <c r="J62" i="66"/>
  <c r="J28" i="74"/>
  <c r="J30" i="74" s="1"/>
  <c r="L57" i="66"/>
  <c r="L53" i="66"/>
  <c r="L70" i="70"/>
  <c r="L50" i="70"/>
  <c r="L51" i="70" s="1"/>
  <c r="K74" i="76"/>
  <c r="K39" i="76"/>
  <c r="K42" i="76" s="1"/>
  <c r="K54" i="76" s="1"/>
  <c r="K56" i="76" s="1"/>
  <c r="I61" i="79"/>
  <c r="J58" i="66"/>
  <c r="N58" i="66" s="1"/>
  <c r="L64" i="66"/>
  <c r="R40" i="66"/>
  <c r="I62" i="71"/>
  <c r="M32" i="78"/>
  <c r="M86" i="80"/>
  <c r="M87" i="80" s="1"/>
  <c r="M69" i="80"/>
  <c r="M69" i="74"/>
  <c r="M86" i="74"/>
  <c r="M87" i="74" s="1"/>
  <c r="R39" i="66"/>
  <c r="L57" i="67"/>
  <c r="L66" i="70"/>
  <c r="K60" i="74"/>
  <c r="M22" i="74"/>
  <c r="M45" i="74" s="1"/>
  <c r="L32" i="82"/>
  <c r="M32" i="82" s="1"/>
  <c r="P38" i="66"/>
  <c r="R38" i="66" s="1"/>
  <c r="J46" i="72"/>
  <c r="J52" i="72" s="1"/>
  <c r="K52" i="72" s="1"/>
  <c r="L29" i="74"/>
  <c r="L30" i="74" s="1"/>
  <c r="L38" i="74" s="1"/>
  <c r="O57" i="75"/>
  <c r="Q55" i="75"/>
  <c r="P50" i="75"/>
  <c r="J68" i="79"/>
  <c r="K41" i="81"/>
  <c r="K43" i="81" s="1"/>
  <c r="K35" i="81"/>
  <c r="J51" i="70"/>
  <c r="M47" i="66"/>
  <c r="N38" i="66"/>
  <c r="L64" i="67"/>
  <c r="N64" i="67" s="1"/>
  <c r="L62" i="70"/>
  <c r="L64" i="70" s="1"/>
  <c r="L65" i="70" s="1"/>
  <c r="J30" i="72"/>
  <c r="K30" i="72" s="1"/>
  <c r="K29" i="74"/>
  <c r="K30" i="74" s="1"/>
  <c r="K38" i="74" s="1"/>
  <c r="P55" i="75"/>
  <c r="S55" i="75" s="1"/>
  <c r="T55" i="75" s="1"/>
  <c r="O50" i="75"/>
  <c r="Q48" i="75"/>
  <c r="M45" i="77"/>
  <c r="N45" i="77" s="1"/>
  <c r="L23" i="80"/>
  <c r="L47" i="66"/>
  <c r="Q41" i="66"/>
  <c r="Q39" i="66"/>
  <c r="N62" i="67"/>
  <c r="K49" i="70"/>
  <c r="M49" i="70" s="1"/>
  <c r="K35" i="70"/>
  <c r="M35" i="70" s="1"/>
  <c r="K32" i="70"/>
  <c r="K34" i="70" s="1"/>
  <c r="K67" i="70" s="1"/>
  <c r="K69" i="70" s="1"/>
  <c r="S29" i="72"/>
  <c r="S25" i="72"/>
  <c r="J29" i="74"/>
  <c r="O55" i="75"/>
  <c r="Q53" i="75"/>
  <c r="N50" i="75"/>
  <c r="P48" i="75"/>
  <c r="M29" i="78"/>
  <c r="N29" i="78" s="1"/>
  <c r="K23" i="80"/>
  <c r="K30" i="80" s="1"/>
  <c r="K38" i="80" s="1"/>
  <c r="K47" i="66"/>
  <c r="P41" i="66"/>
  <c r="J32" i="70"/>
  <c r="Q58" i="75"/>
  <c r="P53" i="75"/>
  <c r="O48" i="75"/>
  <c r="Q46" i="75"/>
  <c r="J26" i="80"/>
  <c r="J23" i="80"/>
  <c r="J32" i="82"/>
  <c r="O50" i="66"/>
  <c r="Q47" i="75"/>
  <c r="J56" i="66"/>
  <c r="J52" i="66"/>
  <c r="N52" i="66" s="1"/>
  <c r="M48" i="70"/>
  <c r="L29" i="70"/>
  <c r="L36" i="70" s="1"/>
  <c r="P58" i="75"/>
  <c r="O53" i="75"/>
  <c r="Q51" i="75"/>
  <c r="N48" i="75"/>
  <c r="P46" i="75"/>
  <c r="L86" i="76"/>
  <c r="M31" i="78"/>
  <c r="N31" i="78" s="1"/>
  <c r="M22" i="80"/>
  <c r="M45" i="80" s="1"/>
  <c r="K39" i="81"/>
  <c r="J39" i="81" s="1"/>
  <c r="J40" i="81" s="1"/>
  <c r="J44" i="81" s="1"/>
  <c r="K50" i="81" s="1"/>
  <c r="K52" i="81" s="1"/>
  <c r="K57" i="81" s="1"/>
  <c r="K60" i="81" s="1"/>
  <c r="K61" i="81" s="1"/>
  <c r="Q54" i="75"/>
  <c r="Q44" i="66"/>
  <c r="L61" i="70"/>
  <c r="M61" i="70" s="1"/>
  <c r="K29" i="70"/>
  <c r="O58" i="75"/>
  <c r="Q56" i="75"/>
  <c r="S56" i="75" s="1"/>
  <c r="T56" i="75" s="1"/>
  <c r="N53" i="75"/>
  <c r="S53" i="75" s="1"/>
  <c r="T53" i="75" s="1"/>
  <c r="P51" i="75"/>
  <c r="S51" i="75" s="1"/>
  <c r="T51" i="75" s="1"/>
  <c r="O46" i="75"/>
  <c r="S46" i="75" s="1"/>
  <c r="T46" i="75" s="1"/>
  <c r="J45" i="66"/>
  <c r="N45" i="66" s="1"/>
  <c r="N47" i="66" s="1"/>
  <c r="Q52" i="75"/>
  <c r="P47" i="75"/>
  <c r="K60" i="70"/>
  <c r="S28" i="72"/>
  <c r="N27" i="72"/>
  <c r="O27" i="72" s="1"/>
  <c r="S27" i="72" s="1"/>
  <c r="Q57" i="75"/>
  <c r="P52" i="75"/>
  <c r="S52" i="75" s="1"/>
  <c r="T52" i="75" s="1"/>
  <c r="O47" i="75"/>
  <c r="L29" i="80"/>
  <c r="M29" i="80" s="1"/>
  <c r="M116" i="36"/>
  <c r="S116" i="36"/>
  <c r="N39" i="29"/>
  <c r="O32" i="34"/>
  <c r="P32" i="34"/>
  <c r="Q32" i="34"/>
  <c r="L67" i="27"/>
  <c r="N58" i="29"/>
  <c r="P52" i="29"/>
  <c r="P58" i="29" s="1"/>
  <c r="O29" i="28"/>
  <c r="O30" i="28"/>
  <c r="N49" i="31"/>
  <c r="N53" i="31"/>
  <c r="O79" i="31"/>
  <c r="N54" i="31"/>
  <c r="N51" i="31"/>
  <c r="N50" i="31"/>
  <c r="P60" i="34"/>
  <c r="Q60" i="34" s="1"/>
  <c r="J26" i="40"/>
  <c r="J33" i="40"/>
  <c r="W88" i="36"/>
  <c r="Q117" i="36"/>
  <c r="I46" i="40"/>
  <c r="V55" i="36"/>
  <c r="W55" i="36"/>
  <c r="M33" i="30"/>
  <c r="K47" i="30" s="1"/>
  <c r="P27" i="34"/>
  <c r="Q27" i="34"/>
  <c r="V48" i="36"/>
  <c r="W48" i="36"/>
  <c r="K59" i="34"/>
  <c r="M59" i="34" s="1"/>
  <c r="N59" i="34" s="1"/>
  <c r="Q59" i="34" s="1"/>
  <c r="T59" i="34"/>
  <c r="M58" i="34"/>
  <c r="N58" i="34" s="1"/>
  <c r="L67" i="35"/>
  <c r="L116" i="36"/>
  <c r="J28" i="41"/>
  <c r="U41" i="37"/>
  <c r="K58" i="41"/>
  <c r="N24" i="29"/>
  <c r="N38" i="29" s="1"/>
  <c r="V56" i="36"/>
  <c r="J41" i="33"/>
  <c r="P23" i="29"/>
  <c r="P20" i="29"/>
  <c r="N26" i="31"/>
  <c r="O26" i="31" s="1"/>
  <c r="M30" i="31" s="1"/>
  <c r="O24" i="31"/>
  <c r="M31" i="31" s="1"/>
  <c r="I105" i="33"/>
  <c r="O81" i="33"/>
  <c r="M31" i="34"/>
  <c r="N31" i="34" s="1"/>
  <c r="J59" i="35"/>
  <c r="J67" i="35" s="1"/>
  <c r="V92" i="36"/>
  <c r="V111" i="36" s="1"/>
  <c r="T111" i="36"/>
  <c r="K116" i="36"/>
  <c r="Q116" i="36"/>
  <c r="U50" i="37"/>
  <c r="U54" i="37" s="1"/>
  <c r="U58" i="37" s="1"/>
  <c r="T58" i="37" s="1"/>
  <c r="T54" i="37"/>
  <c r="I44" i="40"/>
  <c r="I39" i="40"/>
  <c r="I40" i="40" s="1"/>
  <c r="J40" i="40" s="1"/>
  <c r="J39" i="40" s="1"/>
  <c r="J38" i="40" s="1"/>
  <c r="L29" i="28"/>
  <c r="P31" i="29"/>
  <c r="V100" i="36"/>
  <c r="W100" i="36" s="1"/>
  <c r="P57" i="29"/>
  <c r="L32" i="30"/>
  <c r="M27" i="30"/>
  <c r="M28" i="30" s="1"/>
  <c r="K46" i="30" s="1"/>
  <c r="Q56" i="34"/>
  <c r="K117" i="36"/>
  <c r="V95" i="36"/>
  <c r="W95" i="36"/>
  <c r="W63" i="36"/>
  <c r="V52" i="36"/>
  <c r="W52" i="36" s="1"/>
  <c r="P72" i="37"/>
  <c r="Q74" i="37" s="1"/>
  <c r="Q75" i="37" s="1"/>
  <c r="J42" i="41"/>
  <c r="J43" i="41" s="1"/>
  <c r="K56" i="41" s="1"/>
  <c r="K58" i="42"/>
  <c r="K63" i="42" s="1"/>
  <c r="P34" i="29"/>
  <c r="P35" i="29" s="1"/>
  <c r="P77" i="33"/>
  <c r="Q77" i="33"/>
  <c r="M79" i="33"/>
  <c r="N79" i="33"/>
  <c r="P79" i="33"/>
  <c r="Q79" i="33"/>
  <c r="K38" i="38"/>
  <c r="O54" i="28"/>
  <c r="O57" i="28" s="1"/>
  <c r="J67" i="30"/>
  <c r="R26" i="31"/>
  <c r="O26" i="32"/>
  <c r="O28" i="32" s="1"/>
  <c r="J44" i="33"/>
  <c r="J40" i="33"/>
  <c r="M26" i="34"/>
  <c r="N26" i="34" s="1"/>
  <c r="V63" i="36"/>
  <c r="V45" i="36"/>
  <c r="F58" i="42"/>
  <c r="G58" i="42"/>
  <c r="F63" i="42" s="1"/>
  <c r="O28" i="43"/>
  <c r="J37" i="45"/>
  <c r="J78" i="45" s="1"/>
  <c r="S118" i="36"/>
  <c r="AA118" i="36" s="1"/>
  <c r="Q46" i="30"/>
  <c r="R46" i="30" s="1"/>
  <c r="C39" i="39"/>
  <c r="C52" i="39"/>
  <c r="C53" i="39" s="1"/>
  <c r="J39" i="33"/>
  <c r="W94" i="36"/>
  <c r="O32" i="32"/>
  <c r="O35" i="32" s="1"/>
  <c r="J43" i="33"/>
  <c r="S57" i="34"/>
  <c r="S61" i="34" s="1"/>
  <c r="T61" i="34" s="1"/>
  <c r="D50" i="42"/>
  <c r="E50" i="42" s="1"/>
  <c r="D53" i="42"/>
  <c r="E53" i="42" s="1"/>
  <c r="D56" i="42"/>
  <c r="E56" i="42" s="1"/>
  <c r="L31" i="46"/>
  <c r="L34" i="46" s="1"/>
  <c r="M74" i="33"/>
  <c r="N74" i="33"/>
  <c r="P74" i="33"/>
  <c r="P83" i="33" s="1"/>
  <c r="Q89" i="33" s="1"/>
  <c r="Q74" i="33"/>
  <c r="Q83" i="33" s="1"/>
  <c r="Q90" i="33" s="1"/>
  <c r="Q66" i="31"/>
  <c r="T41" i="37"/>
  <c r="N75" i="33"/>
  <c r="I33" i="33"/>
  <c r="L55" i="34"/>
  <c r="M55" i="34" s="1"/>
  <c r="N55" i="34" s="1"/>
  <c r="Q55" i="34" s="1"/>
  <c r="M30" i="34"/>
  <c r="N30" i="34" s="1"/>
  <c r="K67" i="35"/>
  <c r="L71" i="36"/>
  <c r="P72" i="36"/>
  <c r="Q71" i="36"/>
  <c r="AA71" i="36" s="1"/>
  <c r="K71" i="36"/>
  <c r="V54" i="36"/>
  <c r="W54" i="36" s="1"/>
  <c r="V47" i="36"/>
  <c r="W47" i="36" s="1"/>
  <c r="L48" i="42"/>
  <c r="L51" i="42"/>
  <c r="M51" i="42" s="1"/>
  <c r="L54" i="42"/>
  <c r="M54" i="42" s="1"/>
  <c r="L57" i="42"/>
  <c r="M57" i="42" s="1"/>
  <c r="L49" i="42"/>
  <c r="M49" i="42" s="1"/>
  <c r="L52" i="42"/>
  <c r="M52" i="42" s="1"/>
  <c r="L55" i="42"/>
  <c r="M55" i="42" s="1"/>
  <c r="K39" i="44"/>
  <c r="J43" i="44"/>
  <c r="J45" i="44" s="1"/>
  <c r="L33" i="33"/>
  <c r="I100" i="33" s="1"/>
  <c r="I101" i="33" s="1"/>
  <c r="L38" i="38"/>
  <c r="P28" i="34"/>
  <c r="O28" i="34"/>
  <c r="O33" i="34" s="1"/>
  <c r="W91" i="36"/>
  <c r="R116" i="36" s="1"/>
  <c r="J77" i="30"/>
  <c r="L77" i="30" s="1"/>
  <c r="M77" i="33"/>
  <c r="N77" i="33" s="1"/>
  <c r="N72" i="33"/>
  <c r="M83" i="33"/>
  <c r="M89" i="33" s="1"/>
  <c r="P119" i="36"/>
  <c r="J49" i="41"/>
  <c r="J50" i="41" s="1"/>
  <c r="O29" i="34"/>
  <c r="P29" i="34"/>
  <c r="Q29" i="34" s="1"/>
  <c r="W56" i="36"/>
  <c r="V49" i="36"/>
  <c r="W49" i="36"/>
  <c r="W41" i="36"/>
  <c r="T65" i="36"/>
  <c r="K85" i="30"/>
  <c r="Q22" i="37"/>
  <c r="I28" i="41"/>
  <c r="L30" i="28"/>
  <c r="O34" i="29"/>
  <c r="O35" i="29" s="1"/>
  <c r="P18" i="29"/>
  <c r="N52" i="31"/>
  <c r="L81" i="33"/>
  <c r="J46" i="33"/>
  <c r="J42" i="33"/>
  <c r="W53" i="36"/>
  <c r="W46" i="36"/>
  <c r="I49" i="41"/>
  <c r="K43" i="44"/>
  <c r="K45" i="44" s="1"/>
  <c r="K57" i="34"/>
  <c r="K36" i="35"/>
  <c r="K39" i="35" s="1"/>
  <c r="M76" i="33"/>
  <c r="N76" i="33" s="1"/>
  <c r="T56" i="34"/>
  <c r="T55" i="34"/>
  <c r="S117" i="36"/>
  <c r="W98" i="36"/>
  <c r="J58" i="42"/>
  <c r="D57" i="42"/>
  <c r="E57" i="42" s="1"/>
  <c r="D54" i="42"/>
  <c r="E54" i="42" s="1"/>
  <c r="D51" i="42"/>
  <c r="E51" i="42" s="1"/>
  <c r="D48" i="42"/>
  <c r="Q75" i="33"/>
  <c r="D55" i="42"/>
  <c r="E55" i="42" s="1"/>
  <c r="D52" i="42"/>
  <c r="E52" i="42" s="1"/>
  <c r="J54" i="45"/>
  <c r="J71" i="45" s="1"/>
  <c r="J72" i="45" s="1"/>
  <c r="J79" i="45" s="1"/>
  <c r="M35" i="6"/>
  <c r="M37" i="6"/>
  <c r="G73" i="89" l="1"/>
  <c r="H72" i="89"/>
  <c r="M72" i="89"/>
  <c r="M73" i="89" s="1"/>
  <c r="I47" i="89"/>
  <c r="I48" i="89" s="1"/>
  <c r="I49" i="89" s="1"/>
  <c r="I50" i="89" s="1"/>
  <c r="I51" i="89" s="1"/>
  <c r="I52" i="89" s="1"/>
  <c r="I53" i="89" s="1"/>
  <c r="I54" i="89" s="1"/>
  <c r="I55" i="89" s="1"/>
  <c r="I56" i="89" s="1"/>
  <c r="I57" i="89" s="1"/>
  <c r="I58" i="89" s="1"/>
  <c r="I60" i="89" s="1"/>
  <c r="K48" i="89"/>
  <c r="K49" i="89" s="1"/>
  <c r="K50" i="89" s="1"/>
  <c r="K51" i="89" s="1"/>
  <c r="K52" i="89" s="1"/>
  <c r="K53" i="89" s="1"/>
  <c r="K54" i="89" s="1"/>
  <c r="K55" i="89" s="1"/>
  <c r="K56" i="89" s="1"/>
  <c r="K57" i="89" s="1"/>
  <c r="K58" i="89" s="1"/>
  <c r="G77" i="89"/>
  <c r="L52" i="88"/>
  <c r="L54" i="88"/>
  <c r="L25" i="92"/>
  <c r="I39" i="92" s="1"/>
  <c r="L51" i="92"/>
  <c r="K60" i="92"/>
  <c r="M51" i="88"/>
  <c r="M54" i="88" s="1"/>
  <c r="Q84" i="90"/>
  <c r="R84" i="90" s="1"/>
  <c r="Q83" i="90"/>
  <c r="R83" i="90" s="1"/>
  <c r="Q85" i="90"/>
  <c r="R85" i="90" s="1"/>
  <c r="K33" i="92"/>
  <c r="L61" i="92"/>
  <c r="Q82" i="90"/>
  <c r="R82" i="90" s="1"/>
  <c r="Q81" i="90"/>
  <c r="R81" i="90" s="1"/>
  <c r="R94" i="90" s="1"/>
  <c r="R96" i="90" s="1"/>
  <c r="L35" i="92"/>
  <c r="P18" i="91"/>
  <c r="H74" i="89"/>
  <c r="M74" i="89"/>
  <c r="M75" i="89" s="1"/>
  <c r="M76" i="89" s="1"/>
  <c r="M77" i="89" s="1"/>
  <c r="Q33" i="88"/>
  <c r="Q51" i="88" s="1"/>
  <c r="Q54" i="88" s="1"/>
  <c r="P51" i="88"/>
  <c r="I67" i="92"/>
  <c r="K23" i="92"/>
  <c r="K25" i="92" s="1"/>
  <c r="K35" i="92"/>
  <c r="L37" i="92" s="1"/>
  <c r="L40" i="74"/>
  <c r="L39" i="74"/>
  <c r="J41" i="68"/>
  <c r="K40" i="74"/>
  <c r="K39" i="74"/>
  <c r="M30" i="74"/>
  <c r="J38" i="74"/>
  <c r="J34" i="70"/>
  <c r="M32" i="70"/>
  <c r="Q52" i="66"/>
  <c r="H52" i="66"/>
  <c r="O58" i="66"/>
  <c r="N56" i="66"/>
  <c r="H50" i="66"/>
  <c r="Q50" i="66"/>
  <c r="O56" i="66"/>
  <c r="S57" i="75"/>
  <c r="T57" i="75" s="1"/>
  <c r="J35" i="82"/>
  <c r="L35" i="82"/>
  <c r="K39" i="80"/>
  <c r="K40" i="80"/>
  <c r="S44" i="66"/>
  <c r="L63" i="66"/>
  <c r="L65" i="66" s="1"/>
  <c r="L59" i="66"/>
  <c r="J65" i="70"/>
  <c r="J66" i="70" s="1"/>
  <c r="K63" i="66"/>
  <c r="K59" i="66"/>
  <c r="J57" i="66"/>
  <c r="N57" i="66" s="1"/>
  <c r="O44" i="65"/>
  <c r="K62" i="74"/>
  <c r="N60" i="74"/>
  <c r="S48" i="75"/>
  <c r="T48" i="75" s="1"/>
  <c r="J28" i="80"/>
  <c r="M26" i="80"/>
  <c r="N29" i="69"/>
  <c r="M30" i="69"/>
  <c r="N30" i="69" s="1"/>
  <c r="N42" i="69" s="1"/>
  <c r="J30" i="80"/>
  <c r="M23" i="80"/>
  <c r="L74" i="76"/>
  <c r="K76" i="76"/>
  <c r="L76" i="76" s="1"/>
  <c r="L82" i="76" s="1"/>
  <c r="L88" i="76" s="1"/>
  <c r="K40" i="81"/>
  <c r="K36" i="70"/>
  <c r="S50" i="75"/>
  <c r="T50" i="75" s="1"/>
  <c r="M51" i="70"/>
  <c r="H45" i="66"/>
  <c r="Q45" i="66"/>
  <c r="O51" i="66"/>
  <c r="L30" i="80"/>
  <c r="L38" i="80" s="1"/>
  <c r="R41" i="66"/>
  <c r="S41" i="66"/>
  <c r="S47" i="75"/>
  <c r="T47" i="75" s="1"/>
  <c r="T60" i="75" s="1"/>
  <c r="N62" i="80"/>
  <c r="K63" i="80"/>
  <c r="M50" i="70"/>
  <c r="N32" i="78"/>
  <c r="N28" i="78"/>
  <c r="L34" i="68"/>
  <c r="J39" i="68" s="1"/>
  <c r="J40" i="68" s="1"/>
  <c r="J43" i="68" s="1"/>
  <c r="N30" i="78"/>
  <c r="N53" i="66"/>
  <c r="K62" i="70"/>
  <c r="M60" i="70"/>
  <c r="N62" i="66"/>
  <c r="O30" i="72"/>
  <c r="N83" i="79"/>
  <c r="T44" i="66"/>
  <c r="M29" i="74"/>
  <c r="K44" i="81"/>
  <c r="M36" i="82"/>
  <c r="M37" i="79"/>
  <c r="O37" i="79" s="1"/>
  <c r="M38" i="79"/>
  <c r="O38" i="79" s="1"/>
  <c r="I60" i="79" s="1"/>
  <c r="M64" i="66"/>
  <c r="M65" i="66" s="1"/>
  <c r="M59" i="66"/>
  <c r="O46" i="72"/>
  <c r="Y47" i="72"/>
  <c r="O57" i="79"/>
  <c r="M28" i="74"/>
  <c r="K66" i="74"/>
  <c r="S50" i="66"/>
  <c r="S30" i="72"/>
  <c r="K84" i="79"/>
  <c r="J76" i="79"/>
  <c r="R46" i="72"/>
  <c r="R52" i="72" s="1"/>
  <c r="M52" i="72"/>
  <c r="O61" i="29"/>
  <c r="O62" i="29"/>
  <c r="AB116" i="36"/>
  <c r="AA116" i="36"/>
  <c r="N33" i="31" a="1"/>
  <c r="N33" i="31" s="1"/>
  <c r="N61" i="29"/>
  <c r="N62" i="29"/>
  <c r="Q58" i="34"/>
  <c r="O58" i="34"/>
  <c r="P58" i="34"/>
  <c r="K72" i="36"/>
  <c r="P73" i="36"/>
  <c r="L72" i="36"/>
  <c r="M72" i="36"/>
  <c r="Q72" i="36"/>
  <c r="M118" i="36"/>
  <c r="N83" i="33"/>
  <c r="M90" i="33" s="1"/>
  <c r="Q92" i="33" s="1"/>
  <c r="I104" i="33" s="1"/>
  <c r="I107" i="33" s="1"/>
  <c r="I109" i="33" s="1"/>
  <c r="V65" i="36"/>
  <c r="S70" i="36"/>
  <c r="M70" i="36"/>
  <c r="W45" i="36"/>
  <c r="L70" i="36" s="1"/>
  <c r="O38" i="32"/>
  <c r="L40" i="32" s="1"/>
  <c r="L41" i="32" s="1"/>
  <c r="L43" i="32" s="1"/>
  <c r="R70" i="36"/>
  <c r="W65" i="36"/>
  <c r="P30" i="34"/>
  <c r="Q30" i="34" s="1"/>
  <c r="M40" i="33"/>
  <c r="N40" i="33" s="1"/>
  <c r="M47" i="33"/>
  <c r="M43" i="33"/>
  <c r="N45" i="33"/>
  <c r="N41" i="33"/>
  <c r="M39" i="33"/>
  <c r="K52" i="33" s="1"/>
  <c r="M46" i="33"/>
  <c r="M44" i="33"/>
  <c r="N44" i="33" s="1"/>
  <c r="N46" i="33"/>
  <c r="M42" i="33"/>
  <c r="L54" i="33"/>
  <c r="N42" i="33"/>
  <c r="N43" i="33"/>
  <c r="N47" i="33"/>
  <c r="M45" i="33"/>
  <c r="P44" i="33" s="1"/>
  <c r="L53" i="33" s="1"/>
  <c r="M41" i="33"/>
  <c r="L52" i="33" s="1"/>
  <c r="W92" i="36"/>
  <c r="L118" i="36" s="1"/>
  <c r="M119" i="36"/>
  <c r="R119" i="36"/>
  <c r="AB119" i="36" s="1"/>
  <c r="K119" i="36"/>
  <c r="L119" i="36"/>
  <c r="P120" i="36"/>
  <c r="Q119" i="36"/>
  <c r="S119" i="36"/>
  <c r="N40" i="28"/>
  <c r="N38" i="28"/>
  <c r="P26" i="34"/>
  <c r="Q26" i="34"/>
  <c r="AA117" i="36"/>
  <c r="M32" i="31"/>
  <c r="O33" i="31" s="1" a="1"/>
  <c r="O33" i="31" s="1"/>
  <c r="M70" i="35"/>
  <c r="P31" i="34"/>
  <c r="Q31" i="34" s="1"/>
  <c r="P24" i="29"/>
  <c r="C54" i="39"/>
  <c r="C56" i="39" s="1"/>
  <c r="C58" i="39" s="1"/>
  <c r="C55" i="39"/>
  <c r="D58" i="42"/>
  <c r="E48" i="42"/>
  <c r="E58" i="42" s="1"/>
  <c r="D63" i="42" s="1"/>
  <c r="E63" i="42" s="1"/>
  <c r="G63" i="42" s="1"/>
  <c r="J37" i="40"/>
  <c r="J44" i="40"/>
  <c r="J46" i="40" s="1"/>
  <c r="J29" i="41"/>
  <c r="K55" i="41" s="1"/>
  <c r="Q28" i="34"/>
  <c r="P62" i="29"/>
  <c r="P61" i="29"/>
  <c r="P68" i="31"/>
  <c r="Q68" i="31"/>
  <c r="N68" i="31"/>
  <c r="O68" i="31"/>
  <c r="M42" i="30"/>
  <c r="K48" i="30" s="1"/>
  <c r="Q45" i="30" s="1"/>
  <c r="R45" i="30" s="1"/>
  <c r="R117" i="36"/>
  <c r="AB117" i="36" s="1"/>
  <c r="L117" i="36"/>
  <c r="M48" i="42"/>
  <c r="M58" i="42" s="1"/>
  <c r="L63" i="42" s="1"/>
  <c r="L65" i="42" s="1"/>
  <c r="L58" i="42"/>
  <c r="K42" i="38"/>
  <c r="K45" i="38" s="1"/>
  <c r="K47" i="38" s="1"/>
  <c r="K49" i="38" s="1"/>
  <c r="M57" i="34"/>
  <c r="N57" i="34" s="1"/>
  <c r="K61" i="34"/>
  <c r="M61" i="34" s="1"/>
  <c r="N61" i="34" s="1"/>
  <c r="T57" i="34"/>
  <c r="K81" i="45"/>
  <c r="K83" i="45" s="1"/>
  <c r="J69" i="30"/>
  <c r="J85" i="30" s="1"/>
  <c r="L85" i="30" s="1"/>
  <c r="J83" i="30"/>
  <c r="L83" i="30" s="1"/>
  <c r="L53" i="92" l="1"/>
  <c r="K51" i="92"/>
  <c r="K53" i="92" s="1"/>
  <c r="L27" i="92"/>
  <c r="L63" i="92"/>
  <c r="K61" i="92"/>
  <c r="I72" i="89"/>
  <c r="I73" i="89" s="1"/>
  <c r="I74" i="89" s="1"/>
  <c r="I75" i="89" s="1"/>
  <c r="I76" i="89" s="1"/>
  <c r="I77" i="89" s="1"/>
  <c r="I79" i="89" s="1"/>
  <c r="G72" i="89"/>
  <c r="G74" i="89"/>
  <c r="P52" i="88"/>
  <c r="P54" i="88"/>
  <c r="K63" i="92"/>
  <c r="L65" i="92" s="1"/>
  <c r="O57" i="66"/>
  <c r="H51" i="66"/>
  <c r="Q51" i="66"/>
  <c r="T50" i="66"/>
  <c r="V50" i="66" s="1"/>
  <c r="N62" i="74"/>
  <c r="K63" i="74"/>
  <c r="L37" i="82"/>
  <c r="M35" i="82"/>
  <c r="M37" i="82" s="1"/>
  <c r="M34" i="70"/>
  <c r="J67" i="70"/>
  <c r="J36" i="70"/>
  <c r="M36" i="70" s="1"/>
  <c r="L79" i="70" s="1"/>
  <c r="J37" i="82"/>
  <c r="K37" i="82"/>
  <c r="O39" i="79"/>
  <c r="K64" i="70"/>
  <c r="M62" i="70"/>
  <c r="L84" i="79"/>
  <c r="K85" i="79"/>
  <c r="L90" i="79" s="1"/>
  <c r="S33" i="72"/>
  <c r="Q56" i="66"/>
  <c r="H56" i="66"/>
  <c r="O62" i="66"/>
  <c r="J40" i="74"/>
  <c r="M40" i="74" s="1"/>
  <c r="M44" i="74" s="1"/>
  <c r="M47" i="74" s="1"/>
  <c r="M48" i="74" s="1"/>
  <c r="M38" i="74"/>
  <c r="J39" i="74"/>
  <c r="M39" i="74" s="1"/>
  <c r="M30" i="80"/>
  <c r="J38" i="80"/>
  <c r="J63" i="66"/>
  <c r="N63" i="66" s="1"/>
  <c r="N65" i="66" s="1"/>
  <c r="K65" i="66"/>
  <c r="N59" i="66"/>
  <c r="L39" i="80"/>
  <c r="L40" i="80"/>
  <c r="K68" i="74"/>
  <c r="N66" i="74"/>
  <c r="T56" i="66"/>
  <c r="J64" i="66"/>
  <c r="N64" i="66" s="1"/>
  <c r="O83" i="79"/>
  <c r="K66" i="80"/>
  <c r="M28" i="80"/>
  <c r="S56" i="66"/>
  <c r="V44" i="66"/>
  <c r="H58" i="66"/>
  <c r="Q58" i="66"/>
  <c r="O64" i="66"/>
  <c r="S46" i="72"/>
  <c r="O52" i="72"/>
  <c r="N63" i="80"/>
  <c r="K64" i="80"/>
  <c r="K65" i="80" s="1"/>
  <c r="N65" i="80" s="1"/>
  <c r="J48" i="40"/>
  <c r="J49" i="40"/>
  <c r="N81" i="31"/>
  <c r="O81" i="31"/>
  <c r="O85" i="31" s="1"/>
  <c r="AA119" i="36"/>
  <c r="K65" i="42"/>
  <c r="Q120" i="36"/>
  <c r="K120" i="36"/>
  <c r="L120" i="36"/>
  <c r="P121" i="36"/>
  <c r="M120" i="36"/>
  <c r="R120" i="36"/>
  <c r="AB120" i="36" s="1"/>
  <c r="S120" i="36"/>
  <c r="S73" i="36"/>
  <c r="K73" i="36"/>
  <c r="L73" i="36"/>
  <c r="P74" i="36"/>
  <c r="M73" i="36"/>
  <c r="Q73" i="36"/>
  <c r="R73" i="36"/>
  <c r="AB73" i="36" s="1"/>
  <c r="U57" i="34"/>
  <c r="Q33" i="34"/>
  <c r="AB70" i="36"/>
  <c r="AA70" i="36"/>
  <c r="N52" i="33"/>
  <c r="K53" i="33"/>
  <c r="N39" i="33"/>
  <c r="N82" i="31"/>
  <c r="O82" i="31"/>
  <c r="M82" i="31"/>
  <c r="O61" i="34"/>
  <c r="Q61" i="34" s="1"/>
  <c r="O57" i="34"/>
  <c r="Q57" i="34"/>
  <c r="J53" i="41"/>
  <c r="K57" i="41" s="1"/>
  <c r="M58" i="41" s="1"/>
  <c r="N58" i="41" s="1"/>
  <c r="T62" i="34"/>
  <c r="L72" i="42"/>
  <c r="L73" i="42"/>
  <c r="L81" i="42"/>
  <c r="M33" i="31"/>
  <c r="M81" i="31" s="1"/>
  <c r="M85" i="31" s="1"/>
  <c r="K54" i="33"/>
  <c r="N54" i="33" s="1"/>
  <c r="N53" i="33"/>
  <c r="N57" i="33"/>
  <c r="S72" i="36"/>
  <c r="W111" i="36"/>
  <c r="L55" i="92" l="1"/>
  <c r="M41" i="82"/>
  <c r="J46" i="82"/>
  <c r="J48" i="82" s="1"/>
  <c r="J49" i="82" s="1"/>
  <c r="U46" i="72"/>
  <c r="S52" i="72"/>
  <c r="S55" i="72" s="1"/>
  <c r="M67" i="70"/>
  <c r="J69" i="70"/>
  <c r="N63" i="74"/>
  <c r="K64" i="74"/>
  <c r="K65" i="74" s="1"/>
  <c r="N65" i="74" s="1"/>
  <c r="K68" i="80"/>
  <c r="N66" i="80"/>
  <c r="M38" i="80"/>
  <c r="J39" i="80"/>
  <c r="M39" i="80" s="1"/>
  <c r="M78" i="80" s="1"/>
  <c r="M93" i="80" s="1"/>
  <c r="J40" i="80"/>
  <c r="M40" i="80" s="1"/>
  <c r="M44" i="80" s="1"/>
  <c r="M47" i="80" s="1"/>
  <c r="M48" i="80" s="1"/>
  <c r="K65" i="70"/>
  <c r="K66" i="70" s="1"/>
  <c r="M64" i="70"/>
  <c r="Q64" i="66"/>
  <c r="H64" i="66"/>
  <c r="H62" i="66"/>
  <c r="Q62" i="66"/>
  <c r="S62" i="66"/>
  <c r="T62" i="66"/>
  <c r="T66" i="66" s="1"/>
  <c r="N84" i="79"/>
  <c r="L85" i="79"/>
  <c r="N68" i="74"/>
  <c r="K86" i="74"/>
  <c r="K87" i="74" s="1"/>
  <c r="M90" i="74" s="1"/>
  <c r="M92" i="74" s="1"/>
  <c r="M95" i="74" s="1"/>
  <c r="V56" i="66"/>
  <c r="O63" i="66"/>
  <c r="Q57" i="66"/>
  <c r="H57" i="66"/>
  <c r="AA72" i="36"/>
  <c r="N85" i="31"/>
  <c r="O88" i="31" s="1"/>
  <c r="S121" i="36"/>
  <c r="K121" i="36"/>
  <c r="L121" i="36"/>
  <c r="P122" i="36"/>
  <c r="M121" i="36"/>
  <c r="Q121" i="36"/>
  <c r="R121" i="36"/>
  <c r="N55" i="33"/>
  <c r="O55" i="33" s="1"/>
  <c r="AA73" i="36"/>
  <c r="M74" i="36"/>
  <c r="Q74" i="36"/>
  <c r="R74" i="36"/>
  <c r="AB74" i="36" s="1"/>
  <c r="S74" i="36"/>
  <c r="L74" i="36"/>
  <c r="K74" i="36"/>
  <c r="P75" i="36"/>
  <c r="AA120" i="36"/>
  <c r="U60" i="34"/>
  <c r="U58" i="34"/>
  <c r="U55" i="34"/>
  <c r="U56" i="34"/>
  <c r="U59" i="34"/>
  <c r="U61" i="34"/>
  <c r="K72" i="42"/>
  <c r="K73" i="42"/>
  <c r="K81" i="42"/>
  <c r="S66" i="66" l="1"/>
  <c r="T69" i="66" s="1"/>
  <c r="V62" i="66"/>
  <c r="M69" i="70"/>
  <c r="J70" i="70"/>
  <c r="H63" i="66"/>
  <c r="Q63" i="66"/>
  <c r="K70" i="70"/>
  <c r="M66" i="70"/>
  <c r="O84" i="79"/>
  <c r="O85" i="79" s="1"/>
  <c r="L92" i="79" s="1"/>
  <c r="L95" i="79" s="1"/>
  <c r="N85" i="79"/>
  <c r="K86" i="80"/>
  <c r="K87" i="80" s="1"/>
  <c r="M90" i="80" s="1"/>
  <c r="M92" i="80" s="1"/>
  <c r="N68" i="80"/>
  <c r="N69" i="80" s="1"/>
  <c r="K69" i="80"/>
  <c r="M72" i="80" s="1"/>
  <c r="M74" i="80" s="1"/>
  <c r="M77" i="80" s="1"/>
  <c r="M80" i="80" s="1"/>
  <c r="N69" i="74"/>
  <c r="K69" i="74"/>
  <c r="M72" i="74" s="1"/>
  <c r="M74" i="74" s="1"/>
  <c r="M77" i="74" s="1"/>
  <c r="M80" i="74" s="1"/>
  <c r="AB121" i="36"/>
  <c r="AA121" i="36"/>
  <c r="AA74" i="36"/>
  <c r="L75" i="36"/>
  <c r="P76" i="36"/>
  <c r="Q75" i="36"/>
  <c r="R75" i="36"/>
  <c r="AB75" i="36" s="1"/>
  <c r="S75" i="36"/>
  <c r="K75" i="36"/>
  <c r="M75" i="36"/>
  <c r="W55" i="34"/>
  <c r="O62" i="34"/>
  <c r="Q62" i="34"/>
  <c r="M122" i="36"/>
  <c r="Q122" i="36"/>
  <c r="L122" i="36"/>
  <c r="P123" i="36"/>
  <c r="K122" i="36"/>
  <c r="L73" i="70" l="1"/>
  <c r="L75" i="70" s="1"/>
  <c r="L78" i="70" s="1"/>
  <c r="L81" i="70" s="1"/>
  <c r="M70" i="70"/>
  <c r="M97" i="80"/>
  <c r="M95" i="80"/>
  <c r="S122" i="36"/>
  <c r="AA122" i="36"/>
  <c r="AA75" i="36"/>
  <c r="M123" i="36"/>
  <c r="R123" i="36"/>
  <c r="S123" i="36"/>
  <c r="Q123" i="36"/>
  <c r="AA123" i="36" s="1"/>
  <c r="K123" i="36"/>
  <c r="L123" i="36"/>
  <c r="P124" i="36"/>
  <c r="K76" i="36"/>
  <c r="P77" i="36"/>
  <c r="L76" i="36"/>
  <c r="M76" i="36"/>
  <c r="Q76" i="36"/>
  <c r="L124" i="36" l="1"/>
  <c r="L125" i="36" s="1"/>
  <c r="Q124" i="36"/>
  <c r="K124" i="36"/>
  <c r="K125" i="36" s="1"/>
  <c r="M124" i="36"/>
  <c r="M125" i="36" s="1"/>
  <c r="R124" i="36"/>
  <c r="AB124" i="36" s="1"/>
  <c r="S124" i="36"/>
  <c r="S125" i="36" s="1"/>
  <c r="AB123" i="36"/>
  <c r="S76" i="36"/>
  <c r="AA76" i="36" s="1"/>
  <c r="S77" i="36"/>
  <c r="K77" i="36"/>
  <c r="L77" i="36"/>
  <c r="P78" i="36"/>
  <c r="M77" i="36"/>
  <c r="R77" i="36"/>
  <c r="Q77" i="36"/>
  <c r="R125" i="36" l="1"/>
  <c r="AA77" i="36"/>
  <c r="R78" i="36"/>
  <c r="AB78" i="36" s="1"/>
  <c r="K78" i="36"/>
  <c r="K79" i="36" s="1"/>
  <c r="L78" i="36"/>
  <c r="L79" i="36" s="1"/>
  <c r="M78" i="36"/>
  <c r="M79" i="36" s="1"/>
  <c r="Q78" i="36"/>
  <c r="S78" i="36"/>
  <c r="S79" i="36" s="1"/>
  <c r="AA124" i="36"/>
  <c r="Q125" i="36"/>
  <c r="AA125" i="36" s="1"/>
  <c r="AB77" i="36"/>
  <c r="R79" i="36"/>
  <c r="AA78" i="36" l="1"/>
  <c r="Q79" i="36"/>
  <c r="AA79" i="36" s="1"/>
  <c r="L128" i="36"/>
  <c r="L129"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M47" authorId="0" shapeId="0" xr:uid="{92A50A9B-EBF1-41A3-8869-66830F73877B}">
      <text>
        <r>
          <rPr>
            <b/>
            <sz val="9"/>
            <color indexed="81"/>
            <rFont val="Tahoma"/>
            <family val="2"/>
          </rPr>
          <t>Author:</t>
        </r>
        <r>
          <rPr>
            <sz val="9"/>
            <color indexed="81"/>
            <rFont val="Tahoma"/>
            <family val="2"/>
          </rPr>
          <t xml:space="preserve">
Assuming it is appropriate to determine cost trend by drug type</t>
        </r>
      </text>
    </comment>
    <comment ref="P54" authorId="0" shapeId="0" xr:uid="{F00F4843-FD4D-445B-8CE8-9AE9F86D521A}">
      <text>
        <r>
          <rPr>
            <b/>
            <sz val="9"/>
            <color indexed="81"/>
            <rFont val="Tahoma"/>
            <family val="2"/>
          </rPr>
          <t>Author:</t>
        </r>
        <r>
          <rPr>
            <sz val="9"/>
            <color indexed="81"/>
            <rFont val="Tahoma"/>
            <family val="2"/>
          </rPr>
          <t xml:space="preserve">
Update rebate % for PB drugs for both retail and mail order based on assumptions given</t>
        </r>
      </text>
    </comment>
    <comment ref="S59" authorId="0" shapeId="0" xr:uid="{7A1B7305-3CC7-4F68-B7AB-E37E814CA0CE}">
      <text>
        <r>
          <rPr>
            <b/>
            <sz val="9"/>
            <color indexed="81"/>
            <rFont val="Tahoma"/>
            <family val="2"/>
          </rPr>
          <t>Author:</t>
        </r>
        <r>
          <rPr>
            <sz val="9"/>
            <color indexed="81"/>
            <rFont val="Tahoma"/>
            <family val="2"/>
          </rPr>
          <t xml:space="preserve">
Adjust to the 90 day script by dividing by 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J33" authorId="0" shapeId="0" xr:uid="{D385EE3A-1658-47A1-A87A-A4CDEC3BC79E}">
      <text>
        <r>
          <rPr>
            <b/>
            <sz val="9"/>
            <color indexed="81"/>
            <rFont val="Tahoma"/>
            <family val="2"/>
          </rPr>
          <t>Author:</t>
        </r>
        <r>
          <rPr>
            <sz val="9"/>
            <color indexed="81"/>
            <rFont val="Tahoma"/>
            <family val="2"/>
          </rPr>
          <t xml:space="preserve">
This is picked from the table above based on salary level</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<sst xmlns="http://schemas.openxmlformats.org/spreadsheetml/2006/main" count="6687" uniqueCount="1734">
  <si>
    <t>Claims Cost</t>
  </si>
  <si>
    <t>Percent of Members</t>
  </si>
  <si>
    <t>2019 claims cost distribution:</t>
  </si>
  <si>
    <t>Table Calculations and Formulas</t>
  </si>
  <si>
    <t>Given Table Data</t>
  </si>
  <si>
    <t>dampening effect on trend of a $1,500 annual maximum</t>
  </si>
  <si>
    <t xml:space="preserve">·        2020 claims trend:  5% </t>
  </si>
  <si>
    <t>·        No annual maximum in 2019</t>
  </si>
  <si>
    <t>Assumptions/Parameters</t>
  </si>
  <si>
    <t>Answers</t>
  </si>
  <si>
    <t>Checks</t>
  </si>
  <si>
    <t>Calculations</t>
  </si>
  <si>
    <t xml:space="preserve">Notes or comments </t>
  </si>
  <si>
    <t>Cell color guide</t>
  </si>
  <si>
    <t>Fall 2020 DP-C #4c</t>
  </si>
  <si>
    <t xml:space="preserve">Dampening effect </t>
  </si>
  <si>
    <t>$1,500 max</t>
  </si>
  <si>
    <t>No max</t>
  </si>
  <si>
    <t>part d</t>
  </si>
  <si>
    <t>Specialty</t>
  </si>
  <si>
    <t>Non-Preferred Brand</t>
  </si>
  <si>
    <t>Preferred Brand</t>
  </si>
  <si>
    <t>Generic</t>
  </si>
  <si>
    <t>Dispensing Fees</t>
  </si>
  <si>
    <t>Discounts</t>
  </si>
  <si>
    <t>Average Wholesale Price</t>
  </si>
  <si>
    <t>Exhibit 2 - Rx Information</t>
  </si>
  <si>
    <t>part c</t>
  </si>
  <si>
    <t>2019 Specialty copay</t>
  </si>
  <si>
    <t>2018 Specialty copay</t>
  </si>
  <si>
    <t>2019 Generic copay</t>
  </si>
  <si>
    <t>2018 Generic copay</t>
  </si>
  <si>
    <t>In Network</t>
  </si>
  <si>
    <t>• Exhibits 1 and 8</t>
  </si>
  <si>
    <t>• All prescriptions are filled in-network</t>
  </si>
  <si>
    <t>• Sales tax is 0%</t>
  </si>
  <si>
    <t>• Vaccine fee is $0</t>
  </si>
  <si>
    <t>Fall 2020 DP-C #2c-d</t>
  </si>
  <si>
    <t>Class III</t>
  </si>
  <si>
    <t>Class II</t>
  </si>
  <si>
    <t>Class I</t>
  </si>
  <si>
    <t>Coinsurance</t>
  </si>
  <si>
    <t>Class</t>
  </si>
  <si>
    <t>2019 Avg Cost per Service</t>
  </si>
  <si>
    <t>2019 Annual Services per 1,000 Members</t>
  </si>
  <si>
    <t>Tight Network:</t>
  </si>
  <si>
    <t>N/A</t>
  </si>
  <si>
    <t>90th Percentile</t>
  </si>
  <si>
    <t>Broad</t>
  </si>
  <si>
    <t>Tight</t>
  </si>
  <si>
    <t>Penetration</t>
  </si>
  <si>
    <t>Discount</t>
  </si>
  <si>
    <t>Network</t>
  </si>
  <si>
    <t>Provider Discount</t>
  </si>
  <si>
    <t>part b</t>
  </si>
  <si>
    <t>&gt;$ 1,500.01</t>
  </si>
  <si>
    <t>$500.01-$1500</t>
  </si>
  <si>
    <t>$150.01-$500</t>
  </si>
  <si>
    <t>$50.01 - $150</t>
  </si>
  <si>
    <t>$0.01-$50</t>
  </si>
  <si>
    <t>Claim Cost</t>
  </si>
  <si>
    <t>Percent Insureds</t>
  </si>
  <si>
    <t>Range of Claims</t>
  </si>
  <si>
    <t>2019 Expected</t>
  </si>
  <si>
    <t>2019 Expected Claims</t>
  </si>
  <si>
    <t>part a</t>
  </si>
  <si>
    <t>2020 claims trend: 5%</t>
  </si>
  <si>
    <t>Deductible</t>
  </si>
  <si>
    <t>Fall 2020 DP-C #5a-b</t>
  </si>
  <si>
    <t>F</t>
  </si>
  <si>
    <t>E</t>
  </si>
  <si>
    <t>D</t>
  </si>
  <si>
    <t>C</t>
  </si>
  <si>
    <t>B</t>
  </si>
  <si>
    <t>A</t>
  </si>
  <si>
    <t>Rebate per Script (in allowed $$)</t>
  </si>
  <si>
    <t>2022 Tier</t>
  </si>
  <si>
    <t>Drug</t>
  </si>
  <si>
    <t>·         Rebates per script for 2022:</t>
  </si>
  <si>
    <t>·         No rebates in 2020.</t>
  </si>
  <si>
    <t>·         No change in utilization from 2020 to 2022.</t>
  </si>
  <si>
    <t>e.</t>
  </si>
  <si>
    <t>Non-Preferred Brands</t>
  </si>
  <si>
    <t>Preferred Brands</t>
  </si>
  <si>
    <t>Generics</t>
  </si>
  <si>
    <t>Copay</t>
  </si>
  <si>
    <t>Tier Description</t>
  </si>
  <si>
    <t>Tier</t>
  </si>
  <si>
    <t>Scripts per 1,000 members</t>
  </si>
  <si>
    <t>2022 Discount</t>
  </si>
  <si>
    <t>2020 Discount</t>
  </si>
  <si>
    <t>Dispensing Fee</t>
  </si>
  <si>
    <t>d.</t>
  </si>
  <si>
    <t>Part</t>
  </si>
  <si>
    <t>• 0% utilization trend</t>
  </si>
  <si>
    <t>• 0% AWP trend</t>
  </si>
  <si>
    <t>Spring 2021 DP-C #1</t>
  </si>
  <si>
    <t>Leveraging</t>
  </si>
  <si>
    <t>Capitation trend impact</t>
  </si>
  <si>
    <t>Population shifts</t>
  </si>
  <si>
    <t>Structural changes</t>
  </si>
  <si>
    <t>One-time changes</t>
  </si>
  <si>
    <t>Core utilization trends</t>
  </si>
  <si>
    <t>Core cost trends</t>
  </si>
  <si>
    <t>Revised 2021 Estimate</t>
  </si>
  <si>
    <t>Trend Component</t>
  </si>
  <si>
    <t>d)</t>
  </si>
  <si>
    <t>One-Time Pandemic Adjustment</t>
  </si>
  <si>
    <t>Network Changes</t>
  </si>
  <si>
    <t>Geographic Changes</t>
  </si>
  <si>
    <t>Demographic Changes</t>
  </si>
  <si>
    <t>Clinical Program Changes</t>
  </si>
  <si>
    <t>Capitation Impact</t>
  </si>
  <si>
    <t>Benefit Changes</t>
  </si>
  <si>
    <t>2021 Impact</t>
  </si>
  <si>
    <t>Weekends and Holidays</t>
  </si>
  <si>
    <t>Weekdays</t>
  </si>
  <si>
    <t>Weights</t>
  </si>
  <si>
    <t>Day Counts</t>
  </si>
  <si>
    <t>c)</t>
  </si>
  <si>
    <t>Other</t>
  </si>
  <si>
    <t>Ancillary Services</t>
  </si>
  <si>
    <t>Physical Therapy</t>
  </si>
  <si>
    <t>Rx</t>
  </si>
  <si>
    <t>Ambulance</t>
  </si>
  <si>
    <t>Physician Services</t>
  </si>
  <si>
    <t>Office Visit - 30 minutes</t>
  </si>
  <si>
    <t>Office Visit - 15 minutes</t>
  </si>
  <si>
    <t>Outpatient - Other</t>
  </si>
  <si>
    <t>Hospital Services</t>
  </si>
  <si>
    <t>Outpatient - Surgery</t>
  </si>
  <si>
    <t>Outpatient - Pathology</t>
  </si>
  <si>
    <t>Outpatient - Radiology</t>
  </si>
  <si>
    <t>Outpatient - ER</t>
  </si>
  <si>
    <t>Inpatient - Other</t>
  </si>
  <si>
    <t>Inpatient - Mental Health</t>
  </si>
  <si>
    <t>Inpatient - Maternity</t>
  </si>
  <si>
    <t>Inpatient - Surgical</t>
  </si>
  <si>
    <t>Inpatient - Medical</t>
  </si>
  <si>
    <t>Cost Per Service</t>
  </si>
  <si>
    <t>Utilization per 1,000</t>
  </si>
  <si>
    <t>Medical Subcategory</t>
  </si>
  <si>
    <t>Medical Category</t>
  </si>
  <si>
    <t>2021 (Projected)</t>
  </si>
  <si>
    <t>2020 (Actual)</t>
  </si>
  <si>
    <t>b)</t>
  </si>
  <si>
    <t>Fall 2021 DP-C #2b-d</t>
  </si>
  <si>
    <t>n/a</t>
  </si>
  <si>
    <t>Manual</t>
  </si>
  <si>
    <t>Credibility Weighting</t>
  </si>
  <si>
    <t>Composite Induced Utilization Factor</t>
  </si>
  <si>
    <t>Distribution</t>
  </si>
  <si>
    <t>·         5% annual trend</t>
  </si>
  <si>
    <t>·         Provider discounts in States B and C are 4.5% lower than in State A</t>
  </si>
  <si>
    <t>·         The composite area factor underlying the manual rate is 0.963</t>
  </si>
  <si>
    <t>Part d</t>
  </si>
  <si>
    <t>40+</t>
  </si>
  <si>
    <t>Female</t>
  </si>
  <si>
    <t>20-39</t>
  </si>
  <si>
    <t>Male</t>
  </si>
  <si>
    <t>10-19</t>
  </si>
  <si>
    <t>Child</t>
  </si>
  <si>
    <t>0-9</t>
  </si>
  <si>
    <t>Allowed Claims</t>
  </si>
  <si>
    <t>Member Months</t>
  </si>
  <si>
    <t>Age Band</t>
  </si>
  <si>
    <t>Gender</t>
  </si>
  <si>
    <t>State A 2019 and 2020 experience is not fully credible. You are given the 2019 manual experience from State B and State C combined:</t>
  </si>
  <si>
    <t>Part c</t>
  </si>
  <si>
    <t>2022 Projected Member Months</t>
  </si>
  <si>
    <t>2020 Allowed Claims</t>
  </si>
  <si>
    <t>2020 Member Months</t>
  </si>
  <si>
    <t>2019 Allowed Claims</t>
  </si>
  <si>
    <t>2019 Member Months</t>
  </si>
  <si>
    <t>Area</t>
  </si>
  <si>
    <t>Part b</t>
  </si>
  <si>
    <t>• The following 2019 and 2020 claims experience:</t>
  </si>
  <si>
    <t>• The regulator requires the use of claim cost factors based on 2019 allowed PMPM due to claim suppression in 2020.</t>
  </si>
  <si>
    <t>You are given for State A:</t>
  </si>
  <si>
    <t>You are the pricing actuary for an insurer that operates in States A, B, and C. You are pricing the 2022 small group line of business in State A.</t>
  </si>
  <si>
    <t>Spring 2022 DP #6b-d</t>
  </si>
  <si>
    <t>Class III:  Major</t>
  </si>
  <si>
    <t>Class II:  Basic</t>
  </si>
  <si>
    <t>Class I:  Preventive</t>
  </si>
  <si>
    <t>Payer Out of Network Coinsurance</t>
  </si>
  <si>
    <t>Payer In Network Coinsurance</t>
  </si>
  <si>
    <t>In Network Penetration</t>
  </si>
  <si>
    <t>In Network Discount</t>
  </si>
  <si>
    <t>Allowed Cost per Service</t>
  </si>
  <si>
    <t>·       Membership:</t>
  </si>
  <si>
    <t>$10 per member</t>
  </si>
  <si>
    <t>·       Annual policy fee:</t>
  </si>
  <si>
    <t>2% of gross premiums</t>
  </si>
  <si>
    <t xml:space="preserve">·       Premium taxes:  </t>
  </si>
  <si>
    <t>20% of net premiums</t>
  </si>
  <si>
    <t xml:space="preserve">·       Expense target:  </t>
  </si>
  <si>
    <t>5% of gross premiums</t>
  </si>
  <si>
    <t xml:space="preserve">·       Profit target:  </t>
  </si>
  <si>
    <t>·       Deductible for in-network and out-of-network services:</t>
  </si>
  <si>
    <t>Spring 2022 DP #7c</t>
  </si>
  <si>
    <t>ABC Consulting’s annual HSA contribution</t>
  </si>
  <si>
    <t>HDHP Employee contribution (PEPY)</t>
  </si>
  <si>
    <t>PPO Employee contribution (PEPY)</t>
  </si>
  <si>
    <t>Part e</t>
  </si>
  <si>
    <t>$40,001 to $100,000</t>
  </si>
  <si>
    <t>$20,001 to $40,000</t>
  </si>
  <si>
    <t>$7,201 to $20,000</t>
  </si>
  <si>
    <t>$3,001 to $7,200</t>
  </si>
  <si>
    <t>$,1001 to $3,000</t>
  </si>
  <si>
    <t>$201 to $1,000</t>
  </si>
  <si>
    <t>$51 to $200</t>
  </si>
  <si>
    <t>$1 to $50</t>
  </si>
  <si>
    <t>HDHP</t>
  </si>
  <si>
    <t>PPO</t>
  </si>
  <si>
    <t>Claims PEPY</t>
  </si>
  <si>
    <t>·         The following employee distribution for the two plans:</t>
  </si>
  <si>
    <t>Member coinsurance</t>
  </si>
  <si>
    <t>Out-of-pocket max (OOPM)</t>
  </si>
  <si>
    <t>Employee contribution (PEPY)</t>
  </si>
  <si>
    <t>·         No changes to the PPO plan</t>
  </si>
  <si>
    <t>·         Annual claims trend is 0%</t>
  </si>
  <si>
    <t>·         No change in the claims probability distribution for ABC Consulting’s employees</t>
  </si>
  <si>
    <t>Average Claims</t>
  </si>
  <si>
    <t>% of Policies</t>
  </si>
  <si>
    <t xml:space="preserve">ABC Consulting provides a self-insured health plan for 500 employees. </t>
  </si>
  <si>
    <t>Spring 2022 DP #9b-e</t>
  </si>
  <si>
    <t>·         Cost trend is calculated using Year 2 to Year 4 data</t>
  </si>
  <si>
    <t>·         0% utilization trend</t>
  </si>
  <si>
    <t>·         25% rebate for preferred drug types</t>
  </si>
  <si>
    <t>·         10% of retail 30 day non-specialty prescriptions shift to mail order, evenly distributed across drug type</t>
  </si>
  <si>
    <t>Mail 90 Days</t>
  </si>
  <si>
    <t>Retail 30 days</t>
  </si>
  <si>
    <t>Member Cost Sharing</t>
  </si>
  <si>
    <t>Rebates as % of Allowed</t>
  </si>
  <si>
    <t>Claim Frequency</t>
  </si>
  <si>
    <t>Drug Type</t>
  </si>
  <si>
    <t>Supply</t>
  </si>
  <si>
    <t>Year 4</t>
  </si>
  <si>
    <t>Year 3</t>
  </si>
  <si>
    <t>Year 2</t>
  </si>
  <si>
    <t>Exhibit 8 – Rx Information</t>
  </si>
  <si>
    <t>Quantum's Year 4 claim frequency and benefit design:</t>
  </si>
  <si>
    <t>$0 Vaccination fee</t>
  </si>
  <si>
    <t>0% Sales tax</t>
  </si>
  <si>
    <t>$0 dispensing fee for mail order</t>
  </si>
  <si>
    <t>The same discounts apply to retail 30 day and mail 90 day supply</t>
  </si>
  <si>
    <t>Fall 2022 DP #8c-d</t>
  </si>
  <si>
    <t>Total</t>
  </si>
  <si>
    <t>12-Year 4</t>
  </si>
  <si>
    <t>11-Year 4</t>
  </si>
  <si>
    <t>10-Year 4</t>
  </si>
  <si>
    <t>9-Year 4</t>
  </si>
  <si>
    <t>8-Year 4</t>
  </si>
  <si>
    <t>7-Year 4</t>
  </si>
  <si>
    <t>6-Year 4</t>
  </si>
  <si>
    <t>5-Year 4</t>
  </si>
  <si>
    <t>4-Year 4</t>
  </si>
  <si>
    <t>3-Year 4</t>
  </si>
  <si>
    <t>2-Year 4</t>
  </si>
  <si>
    <t>1-Year 4</t>
  </si>
  <si>
    <t>12-Year 3</t>
  </si>
  <si>
    <t>11-Year 3</t>
  </si>
  <si>
    <t>10-Year 3</t>
  </si>
  <si>
    <t>9-Year 3</t>
  </si>
  <si>
    <t>8-Year 3</t>
  </si>
  <si>
    <t>7-Year 3</t>
  </si>
  <si>
    <t>6-Year 3</t>
  </si>
  <si>
    <t>5-Year 3</t>
  </si>
  <si>
    <t>4-Year 3</t>
  </si>
  <si>
    <t>3-Year 3</t>
  </si>
  <si>
    <t>2-Year 3</t>
  </si>
  <si>
    <t>1-Year 3</t>
  </si>
  <si>
    <t>Loss Ratio</t>
  </si>
  <si>
    <t>Incurred Claims</t>
  </si>
  <si>
    <t>Premiums</t>
  </si>
  <si>
    <t>Members</t>
  </si>
  <si>
    <t>Calendar Month</t>
  </si>
  <si>
    <t>HMO - Small Group</t>
  </si>
  <si>
    <t xml:space="preserve"> Exhibit 7 (con’t) – Monthly Experience</t>
  </si>
  <si>
    <t>PPO - Small Group</t>
  </si>
  <si>
    <t>Exhibit 7 (con’t) – Monthly Experience</t>
  </si>
  <si>
    <t>Proposed Credibility</t>
  </si>
  <si>
    <t>Current Credibility</t>
  </si>
  <si>
    <t>Provider Reimbursement</t>
  </si>
  <si>
    <t>Plan</t>
  </si>
  <si>
    <t>Age/Gender</t>
  </si>
  <si>
    <t>4.5% per year</t>
  </si>
  <si>
    <t>Trend</t>
  </si>
  <si>
    <t>Year</t>
  </si>
  <si>
    <t>HMO</t>
  </si>
  <si>
    <t>Fall 2022 DP #10c-d</t>
  </si>
  <si>
    <t>Onlays</t>
  </si>
  <si>
    <t>Preferred</t>
  </si>
  <si>
    <t>6/1/Year 4</t>
  </si>
  <si>
    <t>Denture Repair</t>
  </si>
  <si>
    <t>12/5/Year 4</t>
  </si>
  <si>
    <t>Anesthesia</t>
  </si>
  <si>
    <t>7/27/Year 4</t>
  </si>
  <si>
    <t>Oral Surgery</t>
  </si>
  <si>
    <t>Orthodontic Care</t>
  </si>
  <si>
    <t>3/8/Year 4</t>
  </si>
  <si>
    <t>Fluoride Treatment</t>
  </si>
  <si>
    <t>4/25/Year 4</t>
  </si>
  <si>
    <t>1/12/Year 4</t>
  </si>
  <si>
    <t>Restoration</t>
  </si>
  <si>
    <t>90th</t>
  </si>
  <si>
    <t>Non-Preferred</t>
  </si>
  <si>
    <t>12/14/Year 4</t>
  </si>
  <si>
    <t>1/26/Year 4</t>
  </si>
  <si>
    <t>Bridges</t>
  </si>
  <si>
    <t>10/4/Year 4</t>
  </si>
  <si>
    <t>Crown</t>
  </si>
  <si>
    <t>10/2/Year 4</t>
  </si>
  <si>
    <t>Root Canal</t>
  </si>
  <si>
    <t>7/24/Year 4</t>
  </si>
  <si>
    <t>Periodontics</t>
  </si>
  <si>
    <t>5/22/Year 4</t>
  </si>
  <si>
    <t>7/20/Year 4</t>
  </si>
  <si>
    <t>Extraction</t>
  </si>
  <si>
    <t>11/29/Year 4</t>
  </si>
  <si>
    <t>Oral Evaluation</t>
  </si>
  <si>
    <t>3/22/Year 4</t>
  </si>
  <si>
    <t>Billed Charges</t>
  </si>
  <si>
    <t>Procedure</t>
  </si>
  <si>
    <t>Provider</t>
  </si>
  <si>
    <t>Incurred Date</t>
  </si>
  <si>
    <t>Member</t>
  </si>
  <si>
    <t>Exhibit 4 - Claims Extract</t>
  </si>
  <si>
    <t>Exhibit 3 -Provider Discount</t>
  </si>
  <si>
    <t>Exhibit 2 -Dental Network Member Coinsurance</t>
  </si>
  <si>
    <t>12 Months</t>
  </si>
  <si>
    <t>Class III Services</t>
  </si>
  <si>
    <t>None</t>
  </si>
  <si>
    <t>Class I and Class II Services</t>
  </si>
  <si>
    <t>Waiting Period</t>
  </si>
  <si>
    <t>Annual Maximum per Member</t>
  </si>
  <si>
    <t xml:space="preserve">    Class II and Class III Services</t>
  </si>
  <si>
    <t xml:space="preserve">    Class I Services</t>
  </si>
  <si>
    <t>Non-Preferred Provider</t>
  </si>
  <si>
    <t>Preferred Provider</t>
  </si>
  <si>
    <t>Deductible per Member per Benefit Year</t>
  </si>
  <si>
    <t>Exhibit 1 -Dental PPO50 Plan Benefits</t>
  </si>
  <si>
    <t>·         All members have met waiting period for Class III services</t>
  </si>
  <si>
    <t>Fall 2022 DP #12b,d</t>
  </si>
  <si>
    <t>Broad Network: Average Cost per Service</t>
  </si>
  <si>
    <t>Narrow Network:  Average Cost per Service</t>
  </si>
  <si>
    <t>Annual Services per 1,000 Members</t>
  </si>
  <si>
    <t>HMO Plan Utilization and Unit Cost in 20X2</t>
  </si>
  <si>
    <t>Profit margin (% of Premium)</t>
  </si>
  <si>
    <t>Non-benefit expense ratio (% of Premium)</t>
  </si>
  <si>
    <t>Broad network utilization</t>
  </si>
  <si>
    <t>Narrow network utilization</t>
  </si>
  <si>
    <t>Annual unit cost trend (Broad network)</t>
  </si>
  <si>
    <t>Annual unit cost trend (Narrow network)</t>
  </si>
  <si>
    <t>Annual utilization trend</t>
  </si>
  <si>
    <t>HMO Plan Assumptions</t>
  </si>
  <si>
    <t>Non-preferred</t>
  </si>
  <si>
    <t>November 22</t>
  </si>
  <si>
    <t>Member B</t>
  </si>
  <si>
    <t>Narrow</t>
  </si>
  <si>
    <t>October 8</t>
  </si>
  <si>
    <t>Member A</t>
  </si>
  <si>
    <t>September 1</t>
  </si>
  <si>
    <t>July 27</t>
  </si>
  <si>
    <t>July 24</t>
  </si>
  <si>
    <t>March 22</t>
  </si>
  <si>
    <t>March 20</t>
  </si>
  <si>
    <t>January 29</t>
  </si>
  <si>
    <t>January 22</t>
  </si>
  <si>
    <t>Procedure Class</t>
  </si>
  <si>
    <t>PPO Experience - 20X2</t>
  </si>
  <si>
    <t>HMO Discount</t>
  </si>
  <si>
    <t>PPO Discount</t>
  </si>
  <si>
    <t>Provider and Network Discount</t>
  </si>
  <si>
    <t xml:space="preserve">PPO Non-Preferred Provider </t>
  </si>
  <si>
    <t>PPO Preferred Provider</t>
  </si>
  <si>
    <t>Dental Network - Member Coinsurance</t>
  </si>
  <si>
    <t>Dental Plan Provisions</t>
  </si>
  <si>
    <t>· Member B enrolled January 1, 20X2.</t>
  </si>
  <si>
    <t>· Member A enrolled January 1, 20X1.</t>
  </si>
  <si>
    <t>Spring 2023 DP #5c-d</t>
  </si>
  <si>
    <t>&lt;75</t>
  </si>
  <si>
    <t>70-74</t>
  </si>
  <si>
    <t>65-69</t>
  </si>
  <si>
    <t>60-64</t>
  </si>
  <si>
    <t>55-59</t>
  </si>
  <si>
    <t>50-54</t>
  </si>
  <si>
    <t>45-49</t>
  </si>
  <si>
    <t>40-44</t>
  </si>
  <si>
    <t>35-39</t>
  </si>
  <si>
    <t>30-34</t>
  </si>
  <si>
    <t>25-29</t>
  </si>
  <si>
    <t>&gt;25</t>
  </si>
  <si>
    <t>Company Insured Amount ('000s)</t>
  </si>
  <si>
    <t>Monthly Claim Rate per $1,000 Coverage</t>
  </si>
  <si>
    <t>Age</t>
  </si>
  <si>
    <t>Monthly Claim Rate and Annual Insured Amount</t>
  </si>
  <si>
    <t>Premium tax (% of gross premium)</t>
  </si>
  <si>
    <t>Expense target (% of net premium)</t>
  </si>
  <si>
    <t>Profit Target (% of gross premium)</t>
  </si>
  <si>
    <t>Commissions (% of gross premium)</t>
  </si>
  <si>
    <t>Pricing Assumptions</t>
  </si>
  <si>
    <t>Case size</t>
  </si>
  <si>
    <t>Industry</t>
  </si>
  <si>
    <t>Effective date (April 1)</t>
  </si>
  <si>
    <t>Pricing Factors</t>
  </si>
  <si>
    <t>Female employees</t>
  </si>
  <si>
    <t>Male employees</t>
  </si>
  <si>
    <t>Company Census</t>
  </si>
  <si>
    <t xml:space="preserve">The monthly claim rate is from an industry study completed over 10 years ago. </t>
  </si>
  <si>
    <t xml:space="preserve">You are developing the group term life premium for Company JKL with an April 1 effective date. </t>
  </si>
  <si>
    <t>Spring 2023 DP #7e</t>
  </si>
  <si>
    <t>part e</t>
  </si>
  <si>
    <t>Target profit (% of premium)</t>
  </si>
  <si>
    <t>Expenses (% of premium)</t>
  </si>
  <si>
    <t>Annual claim cost trend</t>
  </si>
  <si>
    <t>Rebate (% of allowed amount)</t>
  </si>
  <si>
    <t>Dispensing fee (20X3)</t>
  </si>
  <si>
    <t>Dispensing fee (20X2)</t>
  </si>
  <si>
    <t>Drug discount (20X3)</t>
  </si>
  <si>
    <t>Drug discount (20X2)</t>
  </si>
  <si>
    <t>Estimated allowed drug cost PMPM (20X2)</t>
  </si>
  <si>
    <t>Spring 2023 DP #8c-e</t>
  </si>
  <si>
    <t>Brands</t>
  </si>
  <si>
    <t>Average Cost per Script Paid by Member</t>
  </si>
  <si>
    <t>Scripts</t>
  </si>
  <si>
    <t>Claims Experience Year 1</t>
  </si>
  <si>
    <t>Member cost share</t>
  </si>
  <si>
    <t>Administrative Fee (per script)</t>
  </si>
  <si>
    <t>Dispensing Fee (per script)</t>
  </si>
  <si>
    <t>Contracted Discounts off AWP</t>
  </si>
  <si>
    <t>Year 1</t>
  </si>
  <si>
    <t>Cost Component</t>
  </si>
  <si>
    <t>Average Wholesale Price (AWP) will increase 10% from Year 1 to Year 2</t>
  </si>
  <si>
    <t>No change in membership or plan design</t>
  </si>
  <si>
    <t>Fall 2023 DP #5b</t>
  </si>
  <si>
    <t>CPT Code 6</t>
  </si>
  <si>
    <t>CPT Code 5</t>
  </si>
  <si>
    <t>CPT Code 4</t>
  </si>
  <si>
    <t>CPT Code 3</t>
  </si>
  <si>
    <t>CPT Code 2</t>
  </si>
  <si>
    <t>CPT Code 1</t>
  </si>
  <si>
    <t>20X2 Fee Schedule</t>
  </si>
  <si>
    <t>20X1 Fee Schedule</t>
  </si>
  <si>
    <t>20X2 Weight</t>
  </si>
  <si>
    <t>20X1 Weight</t>
  </si>
  <si>
    <t>Description</t>
  </si>
  <si>
    <t>Fall 2023 DP #8d</t>
  </si>
  <si>
    <t>&gt;50,000</t>
  </si>
  <si>
    <t>20,000-50,000</t>
  </si>
  <si>
    <t>10,000-20,000</t>
  </si>
  <si>
    <t>5,000-10,000</t>
  </si>
  <si>
    <t>2,000-5,000</t>
  </si>
  <si>
    <t>1,000-2,000</t>
  </si>
  <si>
    <t>500-1,000</t>
  </si>
  <si>
    <t>250-500</t>
  </si>
  <si>
    <t>0-250</t>
  </si>
  <si>
    <t>Average Cost</t>
  </si>
  <si>
    <t>Cost range ($)</t>
  </si>
  <si>
    <t>Family</t>
  </si>
  <si>
    <t>Adult</t>
  </si>
  <si>
    <t>Annual Claim Probability Distribution</t>
  </si>
  <si>
    <t>Ratio of expected plan sponsor costs relative to the expected public plan costs</t>
  </si>
  <si>
    <t>1.25 to 1.30</t>
  </si>
  <si>
    <t>1.00 to 1.05</t>
  </si>
  <si>
    <t>Child coverage cost share</t>
  </si>
  <si>
    <t>Monthly employee premium</t>
  </si>
  <si>
    <t>Z</t>
  </si>
  <si>
    <t>Child coverage premium</t>
  </si>
  <si>
    <t>Annual Out-of-pocket maximum</t>
  </si>
  <si>
    <t>1.5*Y</t>
  </si>
  <si>
    <t>Y</t>
  </si>
  <si>
    <t>Monthly out of pocket maximum</t>
  </si>
  <si>
    <t>Annual Deductible</t>
  </si>
  <si>
    <t>2*X</t>
  </si>
  <si>
    <t>X</t>
  </si>
  <si>
    <t>Monthly deductible</t>
  </si>
  <si>
    <t>Private plan features</t>
  </si>
  <si>
    <t>Family coverage</t>
  </si>
  <si>
    <t>Single coverage</t>
  </si>
  <si>
    <t>Maximum annual premium</t>
  </si>
  <si>
    <t>Private plan requirements</t>
  </si>
  <si>
    <t>2024 Quebec Public Plan</t>
  </si>
  <si>
    <t>• Pharmacy costs are evenly distributed for each month of the year.</t>
  </si>
  <si>
    <t>• Every adult would pay the maximum premium under the public plan.</t>
  </si>
  <si>
    <t>• All families include an employee, a spouse, and two children.</t>
  </si>
  <si>
    <t>Inputs chosen</t>
  </si>
  <si>
    <t>Spring 2024 DP #7b</t>
  </si>
  <si>
    <t>4Q 20X4</t>
  </si>
  <si>
    <t>3Q 20X4</t>
  </si>
  <si>
    <t>2Q 20X4</t>
  </si>
  <si>
    <t>1Q 20X4</t>
  </si>
  <si>
    <t>4Q 20X3</t>
  </si>
  <si>
    <t>3Q 20X3</t>
  </si>
  <si>
    <t>2Q 20X3</t>
  </si>
  <si>
    <t>1Q 20X3</t>
  </si>
  <si>
    <t>4Q 20X2</t>
  </si>
  <si>
    <t>3Q 20X2</t>
  </si>
  <si>
    <t>2Q 20X2</t>
  </si>
  <si>
    <t>1Q 20X2</t>
  </si>
  <si>
    <t>4Q 20X1</t>
  </si>
  <si>
    <t>3Q 20X1</t>
  </si>
  <si>
    <t>2Q 20X1</t>
  </si>
  <si>
    <t>1Q 20X1</t>
  </si>
  <si>
    <t>Net Paid Claims</t>
  </si>
  <si>
    <t># of Members</t>
  </si>
  <si>
    <t># of Employees</t>
  </si>
  <si>
    <t>Quarter</t>
  </si>
  <si>
    <t>Claim Experience</t>
  </si>
  <si>
    <t>Spring 2024 DP #9c</t>
  </si>
  <si>
    <t>Brand</t>
  </si>
  <si>
    <t>20X2</t>
  </si>
  <si>
    <t>20X1</t>
  </si>
  <si>
    <t>Dispensing Fees (per script)</t>
  </si>
  <si>
    <t>Discounts (% off AWP)</t>
  </si>
  <si>
    <t>PBM Contract Terms</t>
  </si>
  <si>
    <t>XYZ Paid Claims</t>
  </si>
  <si>
    <t>20X1 Claim Experience</t>
  </si>
  <si>
    <t>AWP Unit Cost</t>
  </si>
  <si>
    <t>Utilization</t>
  </si>
  <si>
    <t>Component</t>
  </si>
  <si>
    <t>Annual Trend</t>
  </si>
  <si>
    <t>Member Copay</t>
  </si>
  <si>
    <t>20X1 and 20X2 Copay</t>
  </si>
  <si>
    <t>Fall 2024 DP #1c</t>
  </si>
  <si>
    <t>$500,000+</t>
  </si>
  <si>
    <t>$100,000 - $500,000</t>
  </si>
  <si>
    <t>$50,000 - $100,000</t>
  </si>
  <si>
    <t>$20,000 - $50,000</t>
  </si>
  <si>
    <t>$13,000 - $20,000</t>
  </si>
  <si>
    <t>$8,000 - $13,000</t>
  </si>
  <si>
    <t>$5,000 - $8,000</t>
  </si>
  <si>
    <t>$3,000 - $5,000</t>
  </si>
  <si>
    <t>$1,000 - $3,000</t>
  </si>
  <si>
    <t>$800 - $1,000</t>
  </si>
  <si>
    <t>$600 - $800</t>
  </si>
  <si>
    <t>$400 - $600</t>
  </si>
  <si>
    <t>$300 - $400</t>
  </si>
  <si>
    <t>$200 - $300</t>
  </si>
  <si>
    <t>$100 - $200</t>
  </si>
  <si>
    <t>$0 - $100</t>
  </si>
  <si>
    <t>Average Annual Cost</t>
  </si>
  <si>
    <t>Annual Frequency</t>
  </si>
  <si>
    <t>Out of Network Projected Claim Experience</t>
  </si>
  <si>
    <t>Profit</t>
  </si>
  <si>
    <t>Administrative Costs</t>
  </si>
  <si>
    <t>Taxes and Fees</t>
  </si>
  <si>
    <t>Non Benefit Components</t>
  </si>
  <si>
    <t>Out of Network</t>
  </si>
  <si>
    <t>Projected Claim Distribution</t>
  </si>
  <si>
    <t>Out of Pocket Max</t>
  </si>
  <si>
    <t>Member Coinsurance</t>
  </si>
  <si>
    <t>Out of Network Plan Design</t>
  </si>
  <si>
    <t>Pharmacy</t>
  </si>
  <si>
    <t>Professional Services</t>
  </si>
  <si>
    <t>Specialist</t>
  </si>
  <si>
    <t>Primary Care</t>
  </si>
  <si>
    <t>Physician</t>
  </si>
  <si>
    <t>Radiology</t>
  </si>
  <si>
    <t>Lab</t>
  </si>
  <si>
    <t>Surgery</t>
  </si>
  <si>
    <t>Emergency Room</t>
  </si>
  <si>
    <t>Hospital Outpatient</t>
  </si>
  <si>
    <t>Behavioral</t>
  </si>
  <si>
    <t>Surgical</t>
  </si>
  <si>
    <t>Medical</t>
  </si>
  <si>
    <t>Hospital Inpatient</t>
  </si>
  <si>
    <t>Average Charges</t>
  </si>
  <si>
    <t>Annual Utilization per 1,000</t>
  </si>
  <si>
    <t>In Network Projected Claims Experience</t>
  </si>
  <si>
    <t>·       Assume copays do not accumulate to the out of pocket max</t>
  </si>
  <si>
    <t>·       Experience has been trended to the pricing year</t>
  </si>
  <si>
    <t>·       Out of network coverage is deductible and coinsurance.</t>
  </si>
  <si>
    <t>·       In network coverage is copay only</t>
  </si>
  <si>
    <t>Fall 2024 DP #3d</t>
  </si>
  <si>
    <t>Payer Annual Maximum</t>
  </si>
  <si>
    <t>III. Major</t>
  </si>
  <si>
    <t>II. Basic</t>
  </si>
  <si>
    <t>I. Diagnostic/ Preventive</t>
  </si>
  <si>
    <t>Payer Coinsurance</t>
  </si>
  <si>
    <t>Member annual deductible</t>
  </si>
  <si>
    <t>Proposed Company ABC Voluntary Plan Design</t>
  </si>
  <si>
    <t>Region F</t>
  </si>
  <si>
    <t>Region E</t>
  </si>
  <si>
    <t>Region D</t>
  </si>
  <si>
    <t>Region C</t>
  </si>
  <si>
    <t>Region B</t>
  </si>
  <si>
    <t>Region A</t>
  </si>
  <si>
    <t># of members</t>
  </si>
  <si>
    <t>Region</t>
  </si>
  <si>
    <t>Company ABC Regional Distribution</t>
  </si>
  <si>
    <t>Femail 40+</t>
  </si>
  <si>
    <t>Female &lt;40</t>
  </si>
  <si>
    <t>Male 40+</t>
  </si>
  <si>
    <t>Male &lt;40</t>
  </si>
  <si>
    <t>Company ABC Age/Gender</t>
  </si>
  <si>
    <t>Company ABC Demographics and Voluntary Plan Design:</t>
  </si>
  <si>
    <t>&gt;$4,000</t>
  </si>
  <si>
    <t>Reduction</t>
  </si>
  <si>
    <t>Annual Maximum Limit</t>
  </si>
  <si>
    <t>Annual Claim Cost Reduction of Annual Maximum Limit</t>
  </si>
  <si>
    <t>Annual Claim Cost Reduction of Class II and Class III Deductible</t>
  </si>
  <si>
    <t>Female 40+</t>
  </si>
  <si>
    <t>Age/Gender Adjustment Factors by Class</t>
  </si>
  <si>
    <t>Factor</t>
  </si>
  <si>
    <t>Regional Adjustment Factors</t>
  </si>
  <si>
    <t>PMPM</t>
  </si>
  <si>
    <t>Average Annual Allowed Claims</t>
  </si>
  <si>
    <t>Annual Trend Rate:</t>
  </si>
  <si>
    <t>January 20X0 - December 20X2, fully credible and complete</t>
  </si>
  <si>
    <t>Company Experience Period:</t>
  </si>
  <si>
    <t>Fall 2024 DP #4a</t>
  </si>
  <si>
    <t>price protection rebate needed to maintain 2018 net cost</t>
  </si>
  <si>
    <t>2018 net price per specialty script</t>
  </si>
  <si>
    <t>Dec. 2018 net price per specialty script</t>
  </si>
  <si>
    <t>&lt;--- net cost per generic script</t>
  </si>
  <si>
    <t>&lt;--- copay</t>
  </si>
  <si>
    <t>&lt;--- add on sales tax</t>
  </si>
  <si>
    <t>&lt;--- add on fees</t>
  </si>
  <si>
    <t>&lt;--- dispensing fees</t>
  </si>
  <si>
    <t>&lt;--- apply discount</t>
  </si>
  <si>
    <t>&lt;--- AWP</t>
  </si>
  <si>
    <t>2019 (just AWP)</t>
  </si>
  <si>
    <t>For Dec. AWP moves to next years level</t>
  </si>
  <si>
    <t>the change in plan liability from 2018 to 2019 for the generic drug tier</t>
  </si>
  <si>
    <t>Subtotal</t>
  </si>
  <si>
    <t>Cost / service</t>
  </si>
  <si>
    <t>Cost share</t>
  </si>
  <si>
    <t>Util</t>
  </si>
  <si>
    <t>PMPM Net</t>
  </si>
  <si>
    <t>Net</t>
  </si>
  <si>
    <t>New</t>
  </si>
  <si>
    <t>Prior</t>
  </si>
  <si>
    <t>The Tight Network Provider Discount increases to 40%</t>
  </si>
  <si>
    <t>Given</t>
  </si>
  <si>
    <t>The "2019 Avg Cost per Service" provided are the allowed costs (after network discounts and before member cost share)</t>
  </si>
  <si>
    <t>We are only calculating 2020 net benefit costs for the in network services</t>
  </si>
  <si>
    <t>For the Tight network 2020 cost and utilization trends are 0%</t>
  </si>
  <si>
    <t>Implicit assumptions:</t>
  </si>
  <si>
    <t>&lt;--- Because 100 is the mid point of 150 and 50 a simple mean can be used to do the linear interpolation</t>
  </si>
  <si>
    <t>VOD</t>
  </si>
  <si>
    <t>Ded</t>
  </si>
  <si>
    <t>&lt;---- you want to find the VOD for values that are the maximum of the claim range in each row</t>
  </si>
  <si>
    <t>"Ded."</t>
  </si>
  <si>
    <t>Ann. E[Cost]</t>
  </si>
  <si>
    <t>Freq</t>
  </si>
  <si>
    <t>E[Cost]</t>
  </si>
  <si>
    <t>Claims</t>
  </si>
  <si>
    <t>Max of claim range</t>
  </si>
  <si>
    <t>Backsumms</t>
  </si>
  <si>
    <t>Annual</t>
  </si>
  <si>
    <t>Net costs</t>
  </si>
  <si>
    <t>Allowed</t>
  </si>
  <si>
    <t>Ing Cost</t>
  </si>
  <si>
    <t>Revised 2022 per script costs</t>
  </si>
  <si>
    <t>2022 per script costs</t>
  </si>
  <si>
    <t>2020 per script costs</t>
  </si>
  <si>
    <t>Net Paid Trend</t>
  </si>
  <si>
    <t>Expected Impact of Leveraging</t>
  </si>
  <si>
    <t>Allowed Trend</t>
  </si>
  <si>
    <t>Alternative Payment Models Trend Impact</t>
  </si>
  <si>
    <t>Structural Changes</t>
  </si>
  <si>
    <t>Population Shifts</t>
  </si>
  <si>
    <t>One-Time Changes</t>
  </si>
  <si>
    <t>Core Utilization Trends</t>
  </si>
  <si>
    <t>Core Cost Trends</t>
  </si>
  <si>
    <t>Difference</t>
  </si>
  <si>
    <t>Revised</t>
  </si>
  <si>
    <t>Projected</t>
  </si>
  <si>
    <t>Projected 2021 Trend</t>
  </si>
  <si>
    <t>Workday Trend Impact</t>
  </si>
  <si>
    <t>Weighted Sum, 2021</t>
  </si>
  <si>
    <t>Weighted Sum, 2020</t>
  </si>
  <si>
    <t>total</t>
  </si>
  <si>
    <t>Mix component</t>
  </si>
  <si>
    <t>Severity component</t>
  </si>
  <si>
    <t>Unit cost trend</t>
  </si>
  <si>
    <t>&lt;----- these are actual costs, so each year is weighted with its corresponding util</t>
  </si>
  <si>
    <t>Avg costs</t>
  </si>
  <si>
    <t>&lt;---- Severity trend component</t>
  </si>
  <si>
    <t>&lt;----- Shows how much change was due to util weight shifts, with 2020 cost as the base line</t>
  </si>
  <si>
    <t>Avg "util"</t>
  </si>
  <si>
    <t>&lt;----- using the 2020 util % as the base line weight how did the cost per service change</t>
  </si>
  <si>
    <t>&lt;---- weighted with 2020 util</t>
  </si>
  <si>
    <t xml:space="preserve"> Util. weight</t>
  </si>
  <si>
    <t>Cred</t>
  </si>
  <si>
    <t>Proj. Allowed PMPM</t>
  </si>
  <si>
    <t>Provider Reim.</t>
  </si>
  <si>
    <t>Ind. Util</t>
  </si>
  <si>
    <t>A/G</t>
  </si>
  <si>
    <t>Allowed PMPM</t>
  </si>
  <si>
    <t>2020 Exp.</t>
  </si>
  <si>
    <t>2019 Exp.</t>
  </si>
  <si>
    <t>Composite A/G factors</t>
  </si>
  <si>
    <t>Manual experience</t>
  </si>
  <si>
    <t>A/G Factor</t>
  </si>
  <si>
    <t>Bucket</t>
  </si>
  <si>
    <t>MM</t>
  </si>
  <si>
    <t>Composite factors</t>
  </si>
  <si>
    <t>Factors</t>
  </si>
  <si>
    <t>Gross monthly prem</t>
  </si>
  <si>
    <t>Prem PMPM</t>
  </si>
  <si>
    <t>Incurred PMPM</t>
  </si>
  <si>
    <t>Net PMPM</t>
  </si>
  <si>
    <t>Coins</t>
  </si>
  <si>
    <t>Out Net Util.</t>
  </si>
  <si>
    <t>In Net Util.</t>
  </si>
  <si>
    <t>Cost impact after adding the new plan PEPY</t>
  </si>
  <si>
    <t>Net ER cost</t>
  </si>
  <si>
    <t>Average ER accounting funding cost</t>
  </si>
  <si>
    <t>Average EE premiums</t>
  </si>
  <si>
    <t>ER liability</t>
  </si>
  <si>
    <t>After new plan</t>
  </si>
  <si>
    <t>Prior to new plan</t>
  </si>
  <si>
    <t>Total ER (ABC) liability</t>
  </si>
  <si>
    <t>ER cost PEPY for only HDHP EE's</t>
  </si>
  <si>
    <t>ER cost PEPY for only PPO EE's</t>
  </si>
  <si>
    <t>EE cost PEPY for only HDHP EE's</t>
  </si>
  <si>
    <t>EE cost PEPY for only PPO EE's</t>
  </si>
  <si>
    <t>% EE's in the HDHP</t>
  </si>
  <si>
    <t>% EE's in the PPO</t>
  </si>
  <si>
    <t>&lt;---------------------------- Both cost distributions need to sum back to 100%</t>
  </si>
  <si>
    <t>&lt;----------------------------------</t>
  </si>
  <si>
    <t>ER costs</t>
  </si>
  <si>
    <t>EE costs</t>
  </si>
  <si>
    <t>Freq. for HDHP</t>
  </si>
  <si>
    <t>Freq. for PPO</t>
  </si>
  <si>
    <t>HDHP / HSA</t>
  </si>
  <si>
    <t>It is important to redistribute the original CPD for each plan based on chosen enrollment</t>
  </si>
  <si>
    <t>or</t>
  </si>
  <si>
    <t>OOPM</t>
  </si>
  <si>
    <t>ER cost</t>
  </si>
  <si>
    <t>% ER paid</t>
  </si>
  <si>
    <t>VO Claims</t>
  </si>
  <si>
    <t>max</t>
  </si>
  <si>
    <t>min</t>
  </si>
  <si>
    <t>Phase</t>
  </si>
  <si>
    <t>At the max</t>
  </si>
  <si>
    <t>At the min</t>
  </si>
  <si>
    <t>Critical thresholds</t>
  </si>
  <si>
    <t>&lt;----- Linear Interpolationis not needed since the claims max in this row is equal to the claim level where the member reaches their OOPM, $7,200</t>
  </si>
  <si>
    <t>Value above</t>
  </si>
  <si>
    <t>"Ded"</t>
  </si>
  <si>
    <t>of freq.</t>
  </si>
  <si>
    <t>of Exp.</t>
  </si>
  <si>
    <t>Expected</t>
  </si>
  <si>
    <t xml:space="preserve">Back Sum </t>
  </si>
  <si>
    <t>ALTERNATE SOLUTION</t>
  </si>
  <si>
    <t>&lt;--- total expected ER costs</t>
  </si>
  <si>
    <t>&lt;--- total expected EE costs</t>
  </si>
  <si>
    <t>&lt;--- hits OOPM</t>
  </si>
  <si>
    <t>&lt;--- enters Coins. phase</t>
  </si>
  <si>
    <t>add back in ded for total claims when member reaches the OOPM</t>
  </si>
  <si>
    <t>Total claims in Coins phase</t>
  </si>
  <si>
    <t>OOP in Coins phase</t>
  </si>
  <si>
    <t>&lt;----- Checking that the frequency used to find average price totals back to 100%</t>
  </si>
  <si>
    <t>New Freq.</t>
  </si>
  <si>
    <t>New script count</t>
  </si>
  <si>
    <t>Shift</t>
  </si>
  <si>
    <t>Old script count</t>
  </si>
  <si>
    <t>Incurred</t>
  </si>
  <si>
    <t>Rebates</t>
  </si>
  <si>
    <t>Cost Share</t>
  </si>
  <si>
    <t>Ing. Cost</t>
  </si>
  <si>
    <t>Disc.</t>
  </si>
  <si>
    <t>AWP</t>
  </si>
  <si>
    <t>&lt;----- put back on a % basis by dividing each supply row by the total new script count</t>
  </si>
  <si>
    <t>&lt;---- convert to a script count, as retail counts move to mail they are divided by 3 to adjust for supply differences</t>
  </si>
  <si>
    <t>&lt;----- Assuming there are 1000 scripts in order to correctly account the shift to mail order</t>
  </si>
  <si>
    <t>Annual cost trend</t>
  </si>
  <si>
    <t>&lt;---- Quantity and cost adjustment for mail order scripts</t>
  </si>
  <si>
    <t>Blended claims</t>
  </si>
  <si>
    <t>Proposed credibility factors</t>
  </si>
  <si>
    <t>Adjusted Claims</t>
  </si>
  <si>
    <t>Trend factor</t>
  </si>
  <si>
    <t>Years of trend to year 6</t>
  </si>
  <si>
    <t>Claims PMPM</t>
  </si>
  <si>
    <t>Current credibility factors</t>
  </si>
  <si>
    <t>&lt;---- these are assumed to be year 6 pricing adjustment factors, i.e. they are developed by taking the ratio of age gender factors ( 0.99 = Year 6 PPO A/G factor  /  Year 3 PPO A/G factor )</t>
  </si>
  <si>
    <t>&lt;---- Does not meet company goals since reduction of incurred claims is not more than 10%</t>
  </si>
  <si>
    <t xml:space="preserve">&lt;---- Difference in Plan Liability </t>
  </si>
  <si>
    <t>&lt;--- Claims exceeded Annual Max so incurred is capped at 1,500</t>
  </si>
  <si>
    <t>Annual max check</t>
  </si>
  <si>
    <t>Before annual max</t>
  </si>
  <si>
    <t>Non-Preferred Providers</t>
  </si>
  <si>
    <t>Met Ded?</t>
  </si>
  <si>
    <t>Mem Ded.</t>
  </si>
  <si>
    <t>Mem Coins</t>
  </si>
  <si>
    <t>Preferred Providers</t>
  </si>
  <si>
    <t>&lt;---- Assuming this is covered under Class III, but I am sure that assuming it was not covered since it should be Class IV would be just fine.</t>
  </si>
  <si>
    <t>="Allowed"-"Cost share"</t>
  </si>
  <si>
    <t>="Billed Charges"*(1-"Discount")</t>
  </si>
  <si>
    <t>data copied in from filtered table above</t>
  </si>
  <si>
    <t>Expected Premium</t>
  </si>
  <si>
    <t>Expected claim cost</t>
  </si>
  <si>
    <t>% of Util</t>
  </si>
  <si>
    <t>Incurred cost</t>
  </si>
  <si>
    <t>Allowed cost</t>
  </si>
  <si>
    <t>Billed Cost</t>
  </si>
  <si>
    <t>Projected to 20X4</t>
  </si>
  <si>
    <t>&lt;----- Non Preferred Ded has been met</t>
  </si>
  <si>
    <t>&lt;---- Waiting period has not been met so member pays for 100% of this service</t>
  </si>
  <si>
    <t>NA</t>
  </si>
  <si>
    <t>&lt;----- Preferred Ded has been met</t>
  </si>
  <si>
    <t>Plan Paid</t>
  </si>
  <si>
    <t>Coins.</t>
  </si>
  <si>
    <t>Ded.</t>
  </si>
  <si>
    <t>Before Max</t>
  </si>
  <si>
    <t>Filtered on Member B</t>
  </si>
  <si>
    <t>Met Waiting period?</t>
  </si>
  <si>
    <t>No</t>
  </si>
  <si>
    <t>&lt;---- annual max was applied</t>
  </si>
  <si>
    <t>Costs after annual max</t>
  </si>
  <si>
    <t>Filtered on Member A</t>
  </si>
  <si>
    <t>Yes</t>
  </si>
  <si>
    <t>&lt;--- PEPM</t>
  </si>
  <si>
    <t>&lt;--- monthly group gross premium rate</t>
  </si>
  <si>
    <t>&lt;--- group specific manual claim rate</t>
  </si>
  <si>
    <t>&lt;--- Group factors</t>
  </si>
  <si>
    <t>&lt;--- normalized manual claim rate</t>
  </si>
  <si>
    <t>Composite manual claim cost development</t>
  </si>
  <si>
    <t>Monthly cost</t>
  </si>
  <si>
    <t>Prem in 20X3</t>
  </si>
  <si>
    <t>Inc. claims</t>
  </si>
  <si>
    <t>Trended allowed</t>
  </si>
  <si>
    <t>Change in effective member cost sharing</t>
  </si>
  <si>
    <t>20X3</t>
  </si>
  <si>
    <t>Change in allowed</t>
  </si>
  <si>
    <t>&lt;---- We will need to make the assumption that the dispensing fee given is also on a PMPM basis, since we do not have the information needed to convert the PMPM to a cost per script</t>
  </si>
  <si>
    <t>&lt;---- Usually we see this as cost per script instead of a PMPM</t>
  </si>
  <si>
    <t>% difference</t>
  </si>
  <si>
    <t>Cost difference</t>
  </si>
  <si>
    <t>Total combined cost</t>
  </si>
  <si>
    <t>Inc claims</t>
  </si>
  <si>
    <t>&lt;---- this admin fee is not the insurers retention, instead it is a fee that a PBM or a drug wholesaler is charging</t>
  </si>
  <si>
    <t>Admin</t>
  </si>
  <si>
    <t>&lt;---- total cost trend</t>
  </si>
  <si>
    <t>Mix trend</t>
  </si>
  <si>
    <t>&lt;----- Shows how much change was due to util weight shifts, with 20X1 cost as the base line</t>
  </si>
  <si>
    <t>&lt;------ the severity trend is determined by keeping the fee schedule fix in the base year and then the change in the weights is measured</t>
  </si>
  <si>
    <t>Severity trend</t>
  </si>
  <si>
    <r>
      <rPr>
        <b/>
        <sz val="11"/>
        <color theme="1"/>
        <rFont val="Calibri"/>
        <family val="2"/>
        <scheme val="minor"/>
      </rPr>
      <t>Note:</t>
    </r>
    <r>
      <rPr>
        <sz val="11"/>
        <color theme="1"/>
        <rFont val="Calibri"/>
        <family val="2"/>
        <scheme val="minor"/>
      </rPr>
      <t xml:space="preserve"> It is important to keep the base at 20X1, in fact if you incorrectly tried to have the base year be 20X2 it would zero out the mix component.</t>
    </r>
  </si>
  <si>
    <t>&lt;----- using the 20X1 util % as the base line weight how did the cost per service change</t>
  </si>
  <si>
    <t>&lt;---- weighted with 20X1 util</t>
  </si>
  <si>
    <t>&lt;------ unit cost is measured by keeping the frequency weight at the base year and measuring the change in the fee schedule</t>
  </si>
  <si>
    <t>&lt;---- I am assuming that code 5 and code 3 are in the same "family" of codes and that combining them together is a reasonable way to  capture the trend changes</t>
  </si>
  <si>
    <t>CPT Code 3/5</t>
  </si>
  <si>
    <t>&lt;---- some type of assumption is needed to be made here</t>
  </si>
  <si>
    <t>Adjusted data</t>
  </si>
  <si>
    <t>Adjust the value of the family premium Z until you obtain a resulting ratio between 1.25 and 1.30 in Step 6 above.</t>
  </si>
  <si>
    <t>Adjust the values of the deductible X and OOP maximum Y until you obtain a resulting ratio between 1.00 and 1.05 in Step 3 above.</t>
  </si>
  <si>
    <t>6) Evaluate the ratio of the expected plan costs net of member contributions of the private plan relative to the public plan for a family.</t>
  </si>
  <si>
    <t>5) Calculate the expected private plan cost net of employee contribution based on X and Y above and a hypothetical value for premium Z</t>
  </si>
  <si>
    <t>4) Calculate the expected public plan cost net of member premium for a family.  Note that the "family" coverage for the public plan is really just individual coverages for each of 2 adults and 2 children.</t>
  </si>
  <si>
    <t>3) Evaluate the ratio of the expected plan costs net of member contributions of the private plan relative to the public plan for a single adult.</t>
  </si>
  <si>
    <t>2) Calculate the expected private plan cost net of employee contribution for one adult based on hypothetical values of deductible X and OOP maximum Y.</t>
  </si>
  <si>
    <t>1) Calculate expected public plan cost net of member premium for one adult. Since claims are evenly distributed throughout the year, you may multiply monthly cost share amounts by 12 to make them annual.</t>
  </si>
  <si>
    <t>Steps to solve this question</t>
  </si>
  <si>
    <t>Single</t>
  </si>
  <si>
    <t>Suggested private plan that meets all requirements</t>
  </si>
  <si>
    <t>Are constraints met?</t>
  </si>
  <si>
    <t>Min</t>
  </si>
  <si>
    <t>Max</t>
  </si>
  <si>
    <t>Constraints</t>
  </si>
  <si>
    <t>&lt;---- Ratio of expected plan sponsor costs relative to the expected public plan costs</t>
  </si>
  <si>
    <t>Net plan cost</t>
  </si>
  <si>
    <t>Annual premiums</t>
  </si>
  <si>
    <t>Total family</t>
  </si>
  <si>
    <t>Two Children</t>
  </si>
  <si>
    <t>Two Adults</t>
  </si>
  <si>
    <t>One Adult</t>
  </si>
  <si>
    <t>Plan cost</t>
  </si>
  <si>
    <t>Family cost share</t>
  </si>
  <si>
    <t>Adult cost share</t>
  </si>
  <si>
    <t>Child cost share</t>
  </si>
  <si>
    <t>Annual Values</t>
  </si>
  <si>
    <t>Private plan</t>
  </si>
  <si>
    <t>Pubic plan</t>
  </si>
  <si>
    <t>Annual trend</t>
  </si>
  <si>
    <t>Qtrly trend</t>
  </si>
  <si>
    <t>XYZ Paid</t>
  </si>
  <si>
    <t>(iii)</t>
  </si>
  <si>
    <t>(ii)</t>
  </si>
  <si>
    <t>(i)</t>
  </si>
  <si>
    <t>Ingredient cost per script after discount change</t>
  </si>
  <si>
    <t>AWP per script</t>
  </si>
  <si>
    <t>Ingredient cost per script before discount change</t>
  </si>
  <si>
    <t>&lt;----- Gross premium PMPM</t>
  </si>
  <si>
    <t>&lt;----- Average net claims PMPM</t>
  </si>
  <si>
    <t>OON</t>
  </si>
  <si>
    <t>INN</t>
  </si>
  <si>
    <t>Dist.</t>
  </si>
  <si>
    <t>Net cost</t>
  </si>
  <si>
    <t>Monthly net claims per member</t>
  </si>
  <si>
    <t>Member cost</t>
  </si>
  <si>
    <t>Net cost PMPM</t>
  </si>
  <si>
    <t>Total net annual costs PMPY</t>
  </si>
  <si>
    <t>Annual max adjustment</t>
  </si>
  <si>
    <t>Deductible adjustment</t>
  </si>
  <si>
    <t>Combined costs net of coinsurance</t>
  </si>
  <si>
    <t>Costs for all classes combined</t>
  </si>
  <si>
    <t>Costs net of coinsurance</t>
  </si>
  <si>
    <t>Allowed cost before benefits</t>
  </si>
  <si>
    <t>Age and Gender</t>
  </si>
  <si>
    <t>&lt;----- mid point to mid point is 4 years (7/1/20X1 to 7/1/20X5)</t>
  </si>
  <si>
    <t>Annual Allowed Costs per member</t>
  </si>
  <si>
    <t>I. Diag / Prev</t>
  </si>
  <si>
    <t>High</t>
  </si>
  <si>
    <t>Average</t>
  </si>
  <si>
    <t>Low</t>
  </si>
  <si>
    <t>Risk Factor</t>
  </si>
  <si>
    <t>Average Claim Cost</t>
  </si>
  <si>
    <t>Risk Class</t>
  </si>
  <si>
    <t>Insurer B</t>
  </si>
  <si>
    <t>Insurer A</t>
  </si>
  <si>
    <t>Fall 2020 DP-A #1b</t>
  </si>
  <si>
    <t>Composite (Total)</t>
  </si>
  <si>
    <t>High Risk</t>
  </si>
  <si>
    <t>Average Risk</t>
  </si>
  <si>
    <t>Low Risk</t>
  </si>
  <si>
    <t>Relative Health Status</t>
  </si>
  <si>
    <t>Number of Employees</t>
  </si>
  <si>
    <t>XYZ’s employee census:</t>
  </si>
  <si>
    <t>Rich</t>
  </si>
  <si>
    <t>Moderate</t>
  </si>
  <si>
    <t>Lean</t>
  </si>
  <si>
    <t>Monthly Premium Rate</t>
  </si>
  <si>
    <t>Benefits</t>
  </si>
  <si>
    <t>Health Plan</t>
  </si>
  <si>
    <t xml:space="preserve">·       Each year 5 employees move from Plan B to Plan C.  </t>
  </si>
  <si>
    <t>·       Each year 5 employees move from Plan A to Plan B.</t>
  </si>
  <si>
    <t xml:space="preserve">·       XYZ maintains its per-employee contribution at $400 per month.  </t>
  </si>
  <si>
    <t xml:space="preserve">·       PQR increases its rates by 10% each year. </t>
  </si>
  <si>
    <t>·       For Years 2-5, you are given:</t>
  </si>
  <si>
    <t>·       High risk employees choose Plan C.</t>
  </si>
  <si>
    <t>·       Low risk employees choose Plan A.</t>
  </si>
  <si>
    <t>·       Employees contribute the difference between the selected plan’s premium rate and XYZ’s contribution.</t>
  </si>
  <si>
    <t>·       XYZ contributes $400 per month to the Year 1 premium for each employee.</t>
  </si>
  <si>
    <t>·       Year 1 premiums are not adjusted for anticipated selection.</t>
  </si>
  <si>
    <t>·       PQR sets Year 1 premium rates based on the expected benefit value difference between plans.</t>
  </si>
  <si>
    <t>·       XYZ offers three health plans to its employees:</t>
  </si>
  <si>
    <t>·       XYZ is fully-insured by PQR.</t>
  </si>
  <si>
    <t>Spring 2021 DP-A #3c-d</t>
  </si>
  <si>
    <t>Tobacco Usage</t>
  </si>
  <si>
    <t>New York</t>
  </si>
  <si>
    <t>Phoenix</t>
  </si>
  <si>
    <t>City</t>
  </si>
  <si>
    <t>Average Age</t>
  </si>
  <si>
    <t>Company B</t>
  </si>
  <si>
    <t>Company A</t>
  </si>
  <si>
    <t>Reserve Fund</t>
  </si>
  <si>
    <t>Paid Claims Fund</t>
  </si>
  <si>
    <t>Aggregate Stop Loss</t>
  </si>
  <si>
    <t>Specific Stop Loss</t>
  </si>
  <si>
    <t>Coverage Cost Estimates (PMPM)</t>
  </si>
  <si>
    <t>Med Risk</t>
  </si>
  <si>
    <t>PMPM Claims</t>
  </si>
  <si>
    <t>Mems</t>
  </si>
  <si>
    <t>PMPM claims</t>
  </si>
  <si>
    <t>Smoker</t>
  </si>
  <si>
    <t>Non-smoking</t>
  </si>
  <si>
    <t>Tobacco Status</t>
  </si>
  <si>
    <t>45-64</t>
  </si>
  <si>
    <t>31-45</t>
  </si>
  <si>
    <t>Los Angeles</t>
  </si>
  <si>
    <t>21-30</t>
  </si>
  <si>
    <t>0-20</t>
  </si>
  <si>
    <t>Chicago</t>
  </si>
  <si>
    <t xml:space="preserve">Age </t>
  </si>
  <si>
    <t xml:space="preserve">Area </t>
  </si>
  <si>
    <t>·       Aggregate Stop Loss corridor is 120%</t>
  </si>
  <si>
    <t>·       Small Group base premium rate is $400 PMPM</t>
  </si>
  <si>
    <t>·       ACA fees are $3 PMPM</t>
  </si>
  <si>
    <t>·       ASO Fees are $50 PMPM</t>
  </si>
  <si>
    <t>Spring 2021 DP-A #5c-e</t>
  </si>
  <si>
    <t>Part f</t>
  </si>
  <si>
    <t>Actual Enrollment Mix</t>
  </si>
  <si>
    <t>POS</t>
  </si>
  <si>
    <t>Selection Factor</t>
  </si>
  <si>
    <t>Projected Enrollment Mix</t>
  </si>
  <si>
    <t>Utilization Savings</t>
  </si>
  <si>
    <t>Relative Benefit Level</t>
  </si>
  <si>
    <t>2020 Claims per Employee</t>
  </si>
  <si>
    <t>Current</t>
  </si>
  <si>
    <t>Proposed</t>
  </si>
  <si>
    <t>Company DEF offers a single medical plan in 2020 but will offer employees a choice between three plans in 2021.  Given below:</t>
  </si>
  <si>
    <t>Fall 2021 DP-A #7</t>
  </si>
  <si>
    <t>Dispense Date</t>
  </si>
  <si>
    <t>You are given LMN’s 2020 claim experience for the five employees using Drug A:</t>
  </si>
  <si>
    <t>·        The alternative reimbursement is $46.80 per script for the first half of 2022, with a 4% increase every six months</t>
  </si>
  <si>
    <t>·        Reimbursement under the current arrangement increases 5% per year</t>
  </si>
  <si>
    <t>·        LMN paid $3,000 per employee taking the drug in 2020</t>
  </si>
  <si>
    <t>·        No employees start or stop taking the drug</t>
  </si>
  <si>
    <t>·        Members take the drug every month in the same pattern as 2020</t>
  </si>
  <si>
    <t>LMN asks you to evaluate an alternative reimbursement arrangement for Drug A in 2022.  You are given:</t>
  </si>
  <si>
    <t>Fall 2021 DP-A #8c</t>
  </si>
  <si>
    <t>July 1, 2019 to June 30, 2020</t>
  </si>
  <si>
    <t xml:space="preserve">Expected number of insured members for the period </t>
  </si>
  <si>
    <t>Pooled Premium PMPM from July 1, 2019 to June 30, 2020</t>
  </si>
  <si>
    <t>Pooled Premium PMPM from July 1, 2018 to June 30, 2019</t>
  </si>
  <si>
    <t>Paid Premium PMPM from July 1, 2018 to June 30, 2019</t>
  </si>
  <si>
    <t>0% per year</t>
  </si>
  <si>
    <t>Interest Rate</t>
  </si>
  <si>
    <t>5% per year</t>
  </si>
  <si>
    <t>Claims Trend</t>
  </si>
  <si>
    <t>2% of premium</t>
  </si>
  <si>
    <t>Risk &amp; Profit</t>
  </si>
  <si>
    <t>3% of premium</t>
  </si>
  <si>
    <t>Premium Taxes</t>
  </si>
  <si>
    <t>5% of premium</t>
  </si>
  <si>
    <t>Claim Adjudication</t>
  </si>
  <si>
    <t>4% of premium</t>
  </si>
  <si>
    <t>Administration</t>
  </si>
  <si>
    <t>Credibility Weight</t>
  </si>
  <si>
    <t>Pooled Claims (in $’000s)</t>
  </si>
  <si>
    <t>Pooled Premium (in $’000s)</t>
  </si>
  <si>
    <t>IBNR Balance at end of period (in $’000s)</t>
  </si>
  <si>
    <t>Paid Claims (in $’000s)</t>
  </si>
  <si>
    <t>Average Number of Insured Members</t>
  </si>
  <si>
    <t>Paid Premium (PMPM)</t>
  </si>
  <si>
    <t>July 1, 2017 - June 30, 2018</t>
  </si>
  <si>
    <t>July 1, 2016 - June 30, 2017</t>
  </si>
  <si>
    <t>July 1, 2015 - June 30, 2016</t>
  </si>
  <si>
    <t>Insurer J uses the deficit recovery arrangement method.</t>
  </si>
  <si>
    <t>Spring 2022 DP #4b-d</t>
  </si>
  <si>
    <t>Claims paid by ASL coverage</t>
  </si>
  <si>
    <t>Claimant 2</t>
  </si>
  <si>
    <t>Claimant 1</t>
  </si>
  <si>
    <t>Incurred claims</t>
  </si>
  <si>
    <t>Actual experience after 1 year Claimants with incurred claims &gt;$25,000</t>
  </si>
  <si>
    <t>December</t>
  </si>
  <si>
    <t>November</t>
  </si>
  <si>
    <t>October</t>
  </si>
  <si>
    <t>September</t>
  </si>
  <si>
    <t>August</t>
  </si>
  <si>
    <t>July</t>
  </si>
  <si>
    <t>June</t>
  </si>
  <si>
    <t>May</t>
  </si>
  <si>
    <t>April</t>
  </si>
  <si>
    <t>March</t>
  </si>
  <si>
    <t>February</t>
  </si>
  <si>
    <t>January</t>
  </si>
  <si>
    <t>Actual Incurred Claims</t>
  </si>
  <si>
    <t># of members covered</t>
  </si>
  <si>
    <t># of employees</t>
  </si>
  <si>
    <t>Administrative and regulatory fees</t>
  </si>
  <si>
    <t>Stop loss premium</t>
  </si>
  <si>
    <t>Level funded premium equivalent</t>
  </si>
  <si>
    <t>Fully insured premium</t>
  </si>
  <si>
    <t>○       Aggregate Stop Loss (ASL) deductible</t>
  </si>
  <si>
    <t>○       Specific Stop Loss (SSL) deductible</t>
  </si>
  <si>
    <t>·         Level funded premium equivalent:</t>
  </si>
  <si>
    <t>·         ACA fully insured premium:</t>
  </si>
  <si>
    <t>Expenses (PMPM)</t>
  </si>
  <si>
    <t>Group-specific risk adjustment factor</t>
  </si>
  <si>
    <t>Area factor</t>
  </si>
  <si>
    <t>Industry factor</t>
  </si>
  <si>
    <t>Age factor</t>
  </si>
  <si>
    <t>Base net premium rate (PMPM)</t>
  </si>
  <si>
    <t>Spring 2022 DP #13b-d</t>
  </si>
  <si>
    <t>Year 1 Plan</t>
  </si>
  <si>
    <t>Relative Health Status (Morbidity)</t>
  </si>
  <si>
    <t>Risk Group</t>
  </si>
  <si>
    <t>Monthly Insurer Premium Rates</t>
  </si>
  <si>
    <t>·         Half of the employees in Risk Group 1 are expected to move to the new plan.</t>
  </si>
  <si>
    <t>·         Risk Group 2 is expected to move to the new plan.</t>
  </si>
  <si>
    <t>·         XYZ adds another lean benefit option, with a premium rate of $450.</t>
  </si>
  <si>
    <t>Strategy 2</t>
  </si>
  <si>
    <t>·         Risk Groups 2 and 4 are expected to move to the next lower-priced option.</t>
  </si>
  <si>
    <t>·         PQR increases premium rates by 5% in Year 2.</t>
  </si>
  <si>
    <t>·         Risk Groups 3 and 5 are expected to stay in their current plan.</t>
  </si>
  <si>
    <t>·         XYZ will contribute $400 per month.</t>
  </si>
  <si>
    <t>·         XYZ reduces premium contributions by $50 per month.</t>
  </si>
  <si>
    <t>·         Year 1 premiums are not adjusted for anticipated selection.</t>
  </si>
  <si>
    <t>Strategy 1</t>
  </si>
  <si>
    <t>Fall 2022 DP #5a-b</t>
  </si>
  <si>
    <t>Credibility adjusted claims cost for Year 4</t>
  </si>
  <si>
    <t>·         Quantum will incur the same level of administrative costs for the small group HMO and the level funding product </t>
  </si>
  <si>
    <t xml:space="preserve">·         Specific Stop Loss Deductible: </t>
  </si>
  <si>
    <t xml:space="preserve">o   Employee D </t>
  </si>
  <si>
    <t xml:space="preserve">·         Aggregate Stop Loss Corridor: </t>
  </si>
  <si>
    <t xml:space="preserve">o   Employee B </t>
  </si>
  <si>
    <t>·         Trend</t>
  </si>
  <si>
    <t xml:space="preserve">o   Employee A </t>
  </si>
  <si>
    <t>·         Premium Tax:</t>
  </si>
  <si>
    <t>·         Year 4</t>
  </si>
  <si>
    <t xml:space="preserve">·         Broker Commission: </t>
  </si>
  <si>
    <t xml:space="preserve">o   Employee C </t>
  </si>
  <si>
    <t>$15 PMPM</t>
  </si>
  <si>
    <t>·         State Risk Adjustment Transfer Payment:</t>
  </si>
  <si>
    <t>$5 PMPM</t>
  </si>
  <si>
    <t xml:space="preserve">·         Pharmacy Rebates: </t>
  </si>
  <si>
    <t>$100 PMPM</t>
  </si>
  <si>
    <t>·         General Administrative Expense (excluding QIE):</t>
  </si>
  <si>
    <t>·         Year 3</t>
  </si>
  <si>
    <t>$20 PMPM</t>
  </si>
  <si>
    <t>·         Quality Improvement Expense (QIE):</t>
  </si>
  <si>
    <t>Company REF's high cost claim experience is:</t>
  </si>
  <si>
    <t>You are also given:</t>
  </si>
  <si>
    <t>Number of Members</t>
  </si>
  <si>
    <t>Fall 2022 DP #9e</t>
  </si>
  <si>
    <t>Expected number of insured members for the period from July 1, 20X5 to June 30, 20X6</t>
  </si>
  <si>
    <t>Pooling premium PMPM from July 1, 20X5 to June 30, 20X6</t>
  </si>
  <si>
    <t>Pooling premium PMPM from July 1, 20X4 to June 30, 20X5</t>
  </si>
  <si>
    <t>Paid Premium PMPM from July 1, 20X4 to June 30, 20X5</t>
  </si>
  <si>
    <t>Retention (% of Paid Premium)</t>
  </si>
  <si>
    <t>Pooled Claims ('000s)</t>
  </si>
  <si>
    <t>Pooled Premiums ('000s)</t>
  </si>
  <si>
    <t>IBNR End of Period Reserve ('000s)</t>
  </si>
  <si>
    <t>Paid Claims ('000s)</t>
  </si>
  <si>
    <t>Paid Premiums ('000s)</t>
  </si>
  <si>
    <t>Paid Premium PMPM</t>
  </si>
  <si>
    <t>July 1, 20X3 - June 30, 20X4</t>
  </si>
  <si>
    <t>July 1, 20X2 - June 30, 20X3</t>
  </si>
  <si>
    <t>July 1, 20X1 - June 30, 20X2</t>
  </si>
  <si>
    <t>Employer ABC</t>
  </si>
  <si>
    <t>Company XYZ</t>
  </si>
  <si>
    <t>Employer ABC was acquired by Company XYZ on June 30, 20X4</t>
  </si>
  <si>
    <t>ABC's EEs</t>
  </si>
  <si>
    <t>Spring 2023 DP #3b-c</t>
  </si>
  <si>
    <t> Average PEPY</t>
  </si>
  <si>
    <t>1,000,000+</t>
  </si>
  <si>
    <t>500,001-1,000,000</t>
  </si>
  <si>
    <t>250,001-500,000</t>
  </si>
  <si>
    <t>100,001-250,000</t>
  </si>
  <si>
    <t>50,001-100,000</t>
  </si>
  <si>
    <t>25,001-50,000</t>
  </si>
  <si>
    <t>10,001-25,000</t>
  </si>
  <si>
    <t>5,001-10,000</t>
  </si>
  <si>
    <t>1,001-5,000</t>
  </si>
  <si>
    <t>501-1,000</t>
  </si>
  <si>
    <t>101-500</t>
  </si>
  <si>
    <t>1-100</t>
  </si>
  <si>
    <t>Specialty Drugs</t>
  </si>
  <si>
    <t>Non-Specialty Drugs</t>
  </si>
  <si>
    <t>Outpatient</t>
  </si>
  <si>
    <t>Inpatient</t>
  </si>
  <si>
    <t>Frequency</t>
  </si>
  <si>
    <t>Range of Claims PEPY</t>
  </si>
  <si>
    <t>To Be Determined</t>
  </si>
  <si>
    <t>max increase</t>
  </si>
  <si>
    <t>$100,000 deductible that covers medical and pharmacy claims. Big Customer has stated they will not renew for 20X4 unless the rate increase is under 10%.</t>
  </si>
  <si>
    <t xml:space="preserve">You are an actuary for LMN Insurance, which specializes in selling stop loss coverage.  Big Customer has a specific stop loss policy with a </t>
  </si>
  <si>
    <t>Spring 2023 DP #9c</t>
  </si>
  <si>
    <t>· Benefit Plan Deductible Factors:</t>
  </si>
  <si>
    <t>Region 4</t>
  </si>
  <si>
    <t>Region 3</t>
  </si>
  <si>
    <t>Region 2</t>
  </si>
  <si>
    <t>Region 1</t>
  </si>
  <si>
    <t>· Area factors:</t>
  </si>
  <si>
    <t>&gt;500</t>
  </si>
  <si>
    <t>50-250</t>
  </si>
  <si>
    <t>&lt;50</t>
  </si>
  <si>
    <t>Risk load (% of gross premium)</t>
  </si>
  <si>
    <t>Commission (% of gross premium)</t>
  </si>
  <si>
    <t>Monthly admin fee per employee</t>
  </si>
  <si>
    <t>Total employees</t>
  </si>
  <si>
    <t>· Retention charges:</t>
  </si>
  <si>
    <t>20X4</t>
  </si>
  <si>
    <t>· Monthly claims trend applied to Total Claims and Pooling Charges:</t>
  </si>
  <si>
    <t>Pooling charge per employee</t>
  </si>
  <si>
    <t>o   Pooling charge:</t>
  </si>
  <si>
    <t>Employee and Dependents</t>
  </si>
  <si>
    <t>Employee Only</t>
  </si>
  <si>
    <t>o   Total claims (including pooling charge):</t>
  </si>
  <si>
    <t>· Base monthly manual claim rates effective January 1, 20X4</t>
  </si>
  <si>
    <t>Benefit Plan Deductible</t>
  </si>
  <si>
    <t>Age/sex factor</t>
  </si>
  <si>
    <t>Total premium</t>
  </si>
  <si>
    <t>Net claims &lt; $50,000</t>
  </si>
  <si>
    <t>Amount of claims &gt; $50,000</t>
  </si>
  <si>
    <t>Total claims</t>
  </si>
  <si>
    <t>Annual exposure - total employees</t>
  </si>
  <si>
    <t>dependents</t>
  </si>
  <si>
    <t>Annual exposure - employees +</t>
  </si>
  <si>
    <t>Annual exposure - employee only</t>
  </si>
  <si>
    <t>4/1/20X4</t>
  </si>
  <si>
    <t>1/1/20X4</t>
  </si>
  <si>
    <t>Effective date for renewal rates</t>
  </si>
  <si>
    <t>Group 3</t>
  </si>
  <si>
    <t>Group 2</t>
  </si>
  <si>
    <t>Group 1</t>
  </si>
  <si>
    <t>Experience period data (July 1, 20X2 to June 30, 20X3):</t>
  </si>
  <si>
    <t>Prior rate stabilization reserve balance $875,000</t>
  </si>
  <si>
    <t>Contribution to rate stabilization reserve (% of gross premium) 3.0%</t>
  </si>
  <si>
    <t>· Credibility = Min[(employee months)/6,000),1]</t>
  </si>
  <si>
    <t>· Large claims (&gt; $50,000) are pooled for both prospective and retrospective rating</t>
  </si>
  <si>
    <t>· Groups are re-rated every 12 months</t>
  </si>
  <si>
    <t>· Age and sex factors are computed separately by group, and are provided with the experience of each group being rated</t>
  </si>
  <si>
    <t>Fall 2023 DP #3d-e</t>
  </si>
  <si>
    <t>none</t>
  </si>
  <si>
    <t>Specific Stop Loss Premium PMPM</t>
  </si>
  <si>
    <t>Expected Claims Over Specific Stop Loss Level</t>
  </si>
  <si>
    <t>Expected Claims Retained</t>
  </si>
  <si>
    <t>Specific Stop Loss Level</t>
  </si>
  <si>
    <t>members</t>
  </si>
  <si>
    <t>Total Exposures</t>
  </si>
  <si>
    <t>Base</t>
  </si>
  <si>
    <t>Ratio of Actual to Expected Claims</t>
  </si>
  <si>
    <t>Exposure Frequency</t>
  </si>
  <si>
    <t>NOTE: The Total Exposures for each column should equal 1,000.  Total Exposures are calculated as the sum of that column.</t>
  </si>
  <si>
    <t>Enter the Exposure Frequency in columns D and E of the table below.  The bar graph (Simulated Claim Distribution) will update automatically.</t>
  </si>
  <si>
    <t>part d(i)</t>
  </si>
  <si>
    <t>Fall 2023 DP #6d-e</t>
  </si>
  <si>
    <t>Insurer D</t>
  </si>
  <si>
    <t>Insurer C</t>
  </si>
  <si>
    <t>Avg. Risk</t>
  </si>
  <si>
    <t>You are given the number of enrollees in ACA-compliant plans by risk category and insurer for the 20X1 plan year:</t>
  </si>
  <si>
    <t>·                     High Risk members cost $600</t>
  </si>
  <si>
    <t>·                     Average Risk members cost $300</t>
  </si>
  <si>
    <t>·                     Low Risk members cost $150</t>
  </si>
  <si>
    <t>Fall 2023 DP #7c</t>
  </si>
  <si>
    <t>Employer Contribution Per Employee Per Month (as % of Premium)</t>
  </si>
  <si>
    <t>Benefit Buy-Down</t>
  </si>
  <si>
    <t>Annual change in enrollment</t>
  </si>
  <si>
    <t>Annual Lapse</t>
  </si>
  <si>
    <t>20X2 Annual Average Premium Per Employee</t>
  </si>
  <si>
    <t>20X1 Annual Premium Per Employee</t>
  </si>
  <si>
    <t>NewCo. 20X1 MLR</t>
  </si>
  <si>
    <t>Annual Pre-Selection Premium Trend:</t>
  </si>
  <si>
    <t>&lt;20%</t>
  </si>
  <si>
    <t>20 - 39%</t>
  </si>
  <si>
    <t>40 - 49%</t>
  </si>
  <si>
    <t>50 - 59%</t>
  </si>
  <si>
    <t>60 - 79%</t>
  </si>
  <si>
    <t>79%+</t>
  </si>
  <si>
    <t xml:space="preserve">HSA </t>
  </si>
  <si>
    <t xml:space="preserve">PPO </t>
  </si>
  <si>
    <t>PPO Enrollment Rate</t>
  </si>
  <si>
    <t>Assumed Relative Health Status</t>
  </si>
  <si>
    <t>Less than 10%</t>
  </si>
  <si>
    <t>10-14%</t>
  </si>
  <si>
    <t>15 - 19%</t>
  </si>
  <si>
    <t>20%+</t>
  </si>
  <si>
    <t>HSA</t>
  </si>
  <si>
    <t>As a % of PPO Premium</t>
  </si>
  <si>
    <t xml:space="preserve">Employer Contribution </t>
  </si>
  <si>
    <t>You are given assumptions from Insurer 2-Choices’ rate manual and information on OldCo’s offerings.</t>
  </si>
  <si>
    <t>Pure Premium 20X1 Before Selection</t>
  </si>
  <si>
    <t>OldCo.</t>
  </si>
  <si>
    <t>Defined Employer Contribution Per Employee Per Month:</t>
  </si>
  <si>
    <t>Non-Benefit Load:</t>
  </si>
  <si>
    <t>Insurer 2-Choices offers both the PPO and HSA product to OldCo.</t>
  </si>
  <si>
    <t>You are given for OldCo:</t>
  </si>
  <si>
    <t>Spring 2024 DP #3b-c</t>
  </si>
  <si>
    <t>Expected number of insured members for the period from July 1, 20X4 to June 30, 20X5</t>
  </si>
  <si>
    <t>Pooling premium PMPM from July 1, 20X3 to June 30, 20X4</t>
  </si>
  <si>
    <t>Paid Premium PMPM from July 1, 20X3 to June 30, 20X4</t>
  </si>
  <si>
    <t>July 1, 20X2 – June 30, 20X3</t>
  </si>
  <si>
    <t>July 1, 20X1 – June 30, 20X2</t>
  </si>
  <si>
    <t>July 1, 20X0 – June 30, 20X1</t>
  </si>
  <si>
    <t>Spring 2024 DP #6c-d</t>
  </si>
  <si>
    <t>Pooled Claims (in $000)</t>
  </si>
  <si>
    <t>Pooled Premiums (in $000)</t>
  </si>
  <si>
    <t>IBNR Balance at end of period (in $000)</t>
  </si>
  <si>
    <t>Paid Claims (in $000)</t>
  </si>
  <si>
    <t>Paid Premiums (in $000)</t>
  </si>
  <si>
    <t>31, 2017</t>
  </si>
  <si>
    <t>Jan 1, 2019 –</t>
  </si>
  <si>
    <t>Jan 1, 2018 –</t>
  </si>
  <si>
    <t>Jan 1, 2017 – Dec</t>
  </si>
  <si>
    <t>Broker Load</t>
  </si>
  <si>
    <t>ACA Health Insurer Tax</t>
  </si>
  <si>
    <t>Premium Tax</t>
  </si>
  <si>
    <t>Profit Margin</t>
  </si>
  <si>
    <t>General Administration</t>
  </si>
  <si>
    <t>Exhibit 1 - Non-Claim Expenses (2020)</t>
  </si>
  <si>
    <t>Expected number of insured members for the period from Jan 1, 2020 to Dec 31, 2020</t>
  </si>
  <si>
    <t>Pooled Premium PMPM from Jan 1, 2020 to Dec 31, 2020</t>
  </si>
  <si>
    <t>Pooled Premium PMPM from Jan 1, 2019 to Dec 31, 2019</t>
  </si>
  <si>
    <t>Paid Premium PMPM from Jan 1, 2019 to Dec 31, 2019</t>
  </si>
  <si>
    <t>Additional information</t>
  </si>
  <si>
    <t xml:space="preserve">·        The 2018 experience is fully credible  </t>
  </si>
  <si>
    <t>·        Royale Health Email 2</t>
  </si>
  <si>
    <t>·        General administration fees are assumed to be 7.2% of premium</t>
  </si>
  <si>
    <t>Fall 2020 DP-A #5d</t>
  </si>
  <si>
    <t>Composite</t>
  </si>
  <si>
    <t>New Plan (Narrow Network)</t>
  </si>
  <si>
    <t>Existing Plan (Broad Network)</t>
  </si>
  <si>
    <t>Risk Category</t>
  </si>
  <si>
    <t>Provider Discount Savings</t>
  </si>
  <si>
    <t>Relative Benefit Value</t>
  </si>
  <si>
    <t>Experience Period Claims Cost PEPY</t>
  </si>
  <si>
    <t>Fall 2024 DP #2b-c</t>
  </si>
  <si>
    <t>Rel risk score</t>
  </si>
  <si>
    <t>Market level</t>
  </si>
  <si>
    <t>Normalized claims</t>
  </si>
  <si>
    <t>Selection factor</t>
  </si>
  <si>
    <t>Total Prem</t>
  </si>
  <si>
    <t>Total cost</t>
  </si>
  <si>
    <t>Years 2-5</t>
  </si>
  <si>
    <t>EE Premims</t>
  </si>
  <si>
    <t>Contribution</t>
  </si>
  <si>
    <t xml:space="preserve">Med </t>
  </si>
  <si>
    <t># of EE's</t>
  </si>
  <si>
    <t>Year 5</t>
  </si>
  <si>
    <t>Cost/Prem</t>
  </si>
  <si>
    <t>Premium</t>
  </si>
  <si>
    <t>Cost</t>
  </si>
  <si>
    <t>Plan Rel.</t>
  </si>
  <si>
    <t>&lt;--- Making assumption that all moderate EE's pick Plan B</t>
  </si>
  <si>
    <t>&lt;--- actual claims are more than the expected so no refund is given</t>
  </si>
  <si>
    <t>iii.</t>
  </si>
  <si>
    <t>ii.</t>
  </si>
  <si>
    <t>i.</t>
  </si>
  <si>
    <t>Refund</t>
  </si>
  <si>
    <t>Expected Claims</t>
  </si>
  <si>
    <t>Level Fund Rate</t>
  </si>
  <si>
    <t>ACA fee</t>
  </si>
  <si>
    <t>ASO</t>
  </si>
  <si>
    <t>Res.</t>
  </si>
  <si>
    <t>&lt;---- we are assuming that this value has already been multiplied by the aggregate SL attachment factor</t>
  </si>
  <si>
    <t>Agg SL</t>
  </si>
  <si>
    <t>Spec SL</t>
  </si>
  <si>
    <t>ACA rate</t>
  </si>
  <si>
    <t>base</t>
  </si>
  <si>
    <t>smoke</t>
  </si>
  <si>
    <t>area</t>
  </si>
  <si>
    <t>age</t>
  </si>
  <si>
    <t>Comp. B</t>
  </si>
  <si>
    <t>Comp. A</t>
  </si>
  <si>
    <t>&lt;---- we assume that there are other companies in this market and the average claims of all the companies would equal the given base premium</t>
  </si>
  <si>
    <t>Rel Risk</t>
  </si>
  <si>
    <t>&lt;----- we are assuming that this "base premium" only covers claim costs, does not include any retention</t>
  </si>
  <si>
    <t>Shared Losses</t>
  </si>
  <si>
    <t>Shared Savings/Loss %</t>
  </si>
  <si>
    <t xml:space="preserve">Benchmark * 2%, threshold met </t>
  </si>
  <si>
    <t>Minimum Savings/Loss</t>
  </si>
  <si>
    <t>Benchmark-Actual</t>
  </si>
  <si>
    <t>Savings/(Loss)</t>
  </si>
  <si>
    <t>Actual Cost</t>
  </si>
  <si>
    <t>Benchmark</t>
  </si>
  <si>
    <t>(h) Projected Enrollment Mix</t>
  </si>
  <si>
    <t>(g) 2021 claims prior to Mix</t>
  </si>
  <si>
    <t>(f) Selection Factor</t>
  </si>
  <si>
    <t>(e) Annual Trend</t>
  </si>
  <si>
    <t>(d) Utilization Savings</t>
  </si>
  <si>
    <t>(c) Provider Discount</t>
  </si>
  <si>
    <t>(b) Relative Benefit Level</t>
  </si>
  <si>
    <t>(a) 2020 Claims per Employee</t>
  </si>
  <si>
    <t>Change in costs under the proposed arrangement =</t>
  </si>
  <si>
    <t>2022 Total Costs =</t>
  </si>
  <si>
    <t>Second Half</t>
  </si>
  <si>
    <t>First Half</t>
  </si>
  <si>
    <t>Total Cost</t>
  </si>
  <si>
    <t>Cost per Script</t>
  </si>
  <si>
    <t>Half</t>
  </si>
  <si>
    <t>Proposed Arrangement:</t>
  </si>
  <si>
    <t>Cost Per Member</t>
  </si>
  <si>
    <t>Current Arrangement:</t>
  </si>
  <si>
    <t>Sum of the above</t>
  </si>
  <si>
    <t>Pooling premium</t>
  </si>
  <si>
    <t>Deficit recovery charge paid back over 2 years</t>
  </si>
  <si>
    <t xml:space="preserve">Deficit recovery </t>
  </si>
  <si>
    <t>Rate increase * (premium less pooling)</t>
  </si>
  <si>
    <t>Base premium</t>
  </si>
  <si>
    <t>Comments</t>
  </si>
  <si>
    <t>PMPM Premium Rates</t>
  </si>
  <si>
    <t>&lt;--- This is the rate increase needed to be applied to current premiums to achieve the TLR in the rating period</t>
  </si>
  <si>
    <t>Renewal Rate Increase = Weighted Loss Ratio / TLR -1 =</t>
  </si>
  <si>
    <t>&lt;---- Dividing by the TLR effectively determines the premium needed in the rating period to meet the TRL requirement.</t>
  </si>
  <si>
    <t>TLR = 86.0%</t>
  </si>
  <si>
    <t>&lt;--- Claims are trended to the rating period and Premium is in the time period one year before the rating period</t>
  </si>
  <si>
    <t>Weighted Loss Ratio = ∑(L*M) =</t>
  </si>
  <si>
    <t>Credibility</t>
  </si>
  <si>
    <t>M</t>
  </si>
  <si>
    <t>=K/H</t>
  </si>
  <si>
    <t>L</t>
  </si>
  <si>
    <t>=I*(1+0.05)^J</t>
  </si>
  <si>
    <t>Trended Claims</t>
  </si>
  <si>
    <t>K</t>
  </si>
  <si>
    <t>Years to midpoint of Rating Period</t>
  </si>
  <si>
    <t>Years of Trend</t>
  </si>
  <si>
    <t>J</t>
  </si>
  <si>
    <t>Prior Table</t>
  </si>
  <si>
    <t>I</t>
  </si>
  <si>
    <t>= G*(B-C)</t>
  </si>
  <si>
    <t>Adj. Agg. Prem.</t>
  </si>
  <si>
    <t>H</t>
  </si>
  <si>
    <t>= (325 - 24.75) / F</t>
  </si>
  <si>
    <t>Prem Adj Factor</t>
  </si>
  <si>
    <t>G</t>
  </si>
  <si>
    <t>= D-E</t>
  </si>
  <si>
    <t>Paid less Pooled</t>
  </si>
  <si>
    <t>=(C)/(12*A)</t>
  </si>
  <si>
    <t>Pooled Prem PMPM</t>
  </si>
  <si>
    <t>Paid Prem PMPM</t>
  </si>
  <si>
    <t>Pooled Premiums</t>
  </si>
  <si>
    <t>Paid Premiums</t>
  </si>
  <si>
    <t>Formula</t>
  </si>
  <si>
    <t>July 1, 2017 – June 30, 2018</t>
  </si>
  <si>
    <t>July 1, 2016 – June 30, 2017</t>
  </si>
  <si>
    <t>July 1, 2015 – June 30, 2016</t>
  </si>
  <si>
    <t>Surplus</t>
  </si>
  <si>
    <t>Ret. Less profit</t>
  </si>
  <si>
    <t>Insurers perspective</t>
  </si>
  <si>
    <t>Surplus (J) = (C) – (H) – (I)</t>
  </si>
  <si>
    <t>Retention charges (I) = 14%*(A)</t>
  </si>
  <si>
    <t>Incurred claims (H) = (F) + (G)</t>
  </si>
  <si>
    <t>Delta IBNR (G)</t>
  </si>
  <si>
    <t>Net Claims (F) = (D) – (E)</t>
  </si>
  <si>
    <t>Pooled Claims (E)</t>
  </si>
  <si>
    <t>Paid Claims (D)</t>
  </si>
  <si>
    <t>Net Premiums (C) = (A) – (B)</t>
  </si>
  <si>
    <t>Pooled Premiums (B)</t>
  </si>
  <si>
    <t>Paid Premiums (A)</t>
  </si>
  <si>
    <t>Claims funded by group</t>
  </si>
  <si>
    <t>Claim amount to compare to the paid claims paid fund</t>
  </si>
  <si>
    <t>Claims net of specific SL</t>
  </si>
  <si>
    <t>Claims cover by specific SL</t>
  </si>
  <si>
    <t>Total incurred claims</t>
  </si>
  <si>
    <t>&lt;---- we are making the assumption that this amount includes the ASL deductible factor</t>
  </si>
  <si>
    <t>paid claims fund</t>
  </si>
  <si>
    <t>&lt;-------- Transitional premium</t>
  </si>
  <si>
    <t>&lt;------- Gross premium before risk adj.</t>
  </si>
  <si>
    <t>&lt;------- Group specific net prem</t>
  </si>
  <si>
    <t>&lt;---- Strat 2</t>
  </si>
  <si>
    <t>Needed selection load</t>
  </si>
  <si>
    <t>A1</t>
  </si>
  <si>
    <t>1 (Move to A1)</t>
  </si>
  <si>
    <t>1 (Stay with A)</t>
  </si>
  <si>
    <t>Side Checks</t>
  </si>
  <si>
    <t>Yr 2 prem</t>
  </si>
  <si>
    <t>Yr 2 plan</t>
  </si>
  <si>
    <t>Yr 1 prem</t>
  </si>
  <si>
    <t>Yr 1 plan</t>
  </si>
  <si>
    <t>Risk stat.</t>
  </si>
  <si>
    <t># of EE</t>
  </si>
  <si>
    <t>EE Contributions</t>
  </si>
  <si>
    <t>Expected costs</t>
  </si>
  <si>
    <t>Leaner</t>
  </si>
  <si>
    <t>Insurer Premium Rates</t>
  </si>
  <si>
    <t>Under strategy #2</t>
  </si>
  <si>
    <t>&lt;---- Strat 1</t>
  </si>
  <si>
    <t>Under strategy #1</t>
  </si>
  <si>
    <t>expense components will not include any state taxes or fees since it is a LF (self-insured) product</t>
  </si>
  <si>
    <t>Claim reserve component is not need since we are working with incurred claims and not paid claims</t>
  </si>
  <si>
    <t>Agg. SL insurance prem (assumed to be $0 since it was not given)</t>
  </si>
  <si>
    <t>Specific SL insurance prem (assumed to be $0 since it was not given)</t>
  </si>
  <si>
    <t>paid claims fund, adjusted by Agg. Attachment factor</t>
  </si>
  <si>
    <t>claims used for LF products (must remove the Spec SL claims)</t>
  </si>
  <si>
    <t>Premium build up for LF product</t>
  </si>
  <si>
    <t>PMPM value of the experience above the specific SL ded</t>
  </si>
  <si>
    <t>Member months associated with the 2 years of groups experience</t>
  </si>
  <si>
    <t>&lt;----- making the simplistic assumption that there is no claims trend</t>
  </si>
  <si>
    <t>Amounts to pull out of Incurred claims</t>
  </si>
  <si>
    <t>Large claims</t>
  </si>
  <si>
    <t>Remove claims above SL ded.</t>
  </si>
  <si>
    <t>Level funded product pricing</t>
  </si>
  <si>
    <t>FI Premium</t>
  </si>
  <si>
    <t>Year 5 expected claims cost</t>
  </si>
  <si>
    <t>Claims trend factor</t>
  </si>
  <si>
    <t>Year 4 claims cost</t>
  </si>
  <si>
    <t>Needed premium</t>
  </si>
  <si>
    <t>TRL</t>
  </si>
  <si>
    <t>Total projected claims PMPM</t>
  </si>
  <si>
    <t>Trended Claims PMPM</t>
  </si>
  <si>
    <t>Method from the SOA answer</t>
  </si>
  <si>
    <t>&lt;----- Note this answer differs from the more simplistic method below due to rounding errors from the inputs</t>
  </si>
  <si>
    <t>Rate increase * (prior premium less pooling)</t>
  </si>
  <si>
    <t>Premium rate build up</t>
  </si>
  <si>
    <t>&lt;----- this is the rate increase needed to be applied to current premiums to achieve the TLR in the rating period</t>
  </si>
  <si>
    <t>Renewal Rate Increase = Weighted LR / TLR -1 = 9.1%</t>
  </si>
  <si>
    <t>&lt;----- dividing by the TLR effectively determines the premium needed in the rating period to meet the TRL requirement.</t>
  </si>
  <si>
    <t>&lt;----- claims are trended to the rating period and Premium is in the time period one year before the rating period</t>
  </si>
  <si>
    <t>Weighted Loss Ratio = ∑(L*M) = 93.9%</t>
  </si>
  <si>
    <t>=I*(1+0.07)^J</t>
  </si>
  <si>
    <t>Years to midpoint</t>
  </si>
  <si>
    <t>=(1,000*C)/(12*A)</t>
  </si>
  <si>
    <t>Given per 1,000</t>
  </si>
  <si>
    <t>Method from the text</t>
  </si>
  <si>
    <t>% of total premium</t>
  </si>
  <si>
    <t>Total profit/loss for this account:</t>
  </si>
  <si>
    <t>Risk &amp; Profit (3%) embedded in paid premiums:</t>
  </si>
  <si>
    <t>Profit/loss from pooled experience:</t>
  </si>
  <si>
    <t>Surplus / Deficit from account experience:</t>
  </si>
  <si>
    <r>
      <t xml:space="preserve">Account profit/loss with a </t>
    </r>
    <r>
      <rPr>
        <b/>
        <sz val="11"/>
        <color theme="1"/>
        <rFont val="Calibri"/>
        <family val="2"/>
        <scheme val="minor"/>
      </rPr>
      <t>unilateral arrangement</t>
    </r>
    <r>
      <rPr>
        <sz val="11"/>
        <color theme="1"/>
        <rFont val="Calibri"/>
        <family val="2"/>
        <scheme val="minor"/>
      </rPr>
      <t xml:space="preserve">  ('000s)</t>
    </r>
  </si>
  <si>
    <t>Insurer Cashflow</t>
  </si>
  <si>
    <t>&lt;----- Policy holder cash flow under a unilateral arrangement</t>
  </si>
  <si>
    <t>Policyholder Cashflow</t>
  </si>
  <si>
    <t>Surplus / Deficit</t>
  </si>
  <si>
    <t>Cash flow under a unilateral arrangement ('000s)</t>
  </si>
  <si>
    <t>Plan Liab net SL</t>
  </si>
  <si>
    <t>&lt;--- goal seek such that net costs equal max cost of $1,322.44</t>
  </si>
  <si>
    <t>max cost</t>
  </si>
  <si>
    <t>Plan Liab. after SL</t>
  </si>
  <si>
    <t>&lt;---- assuming all prior rate stabilization reserve balance is paid out</t>
  </si>
  <si>
    <t>Interest</t>
  </si>
  <si>
    <t>Prior rate stab. Res. balance</t>
  </si>
  <si>
    <t>&lt;---- pooling charge trended back 18 months to mid pt of experience period: 7/1/20X4 to 1/1/20X3</t>
  </si>
  <si>
    <t>PEPM</t>
  </si>
  <si>
    <t>Claims Summary</t>
  </si>
  <si>
    <t>Blended Claims Rate</t>
  </si>
  <si>
    <t>Benefit</t>
  </si>
  <si>
    <t>Manual based claims</t>
  </si>
  <si>
    <t>Exp based claims</t>
  </si>
  <si>
    <t>Rating period PEPM</t>
  </si>
  <si>
    <t>Claims PEPM</t>
  </si>
  <si>
    <t>Claims net of pooling</t>
  </si>
  <si>
    <t>EE's</t>
  </si>
  <si>
    <t>Cost reduction relative to retained claims</t>
  </si>
  <si>
    <t>Cost reduction from $25k SSL level</t>
  </si>
  <si>
    <t>Claims + SSL premium</t>
  </si>
  <si>
    <t>Total SSL premium</t>
  </si>
  <si>
    <t>Expected total claims</t>
  </si>
  <si>
    <t>Cost by risk classification</t>
  </si>
  <si>
    <t>Relative risk factor</t>
  </si>
  <si>
    <t>Avg. cost</t>
  </si>
  <si>
    <t>&lt;---- this amount would be the decrease in premiums collected in 20X2, from 20X1, if the anti-selection load was added into the 20X2 premiums</t>
  </si>
  <si>
    <t>(because of anti-selection premiums will fall more than claims, relatively)</t>
  </si>
  <si>
    <t>&lt;--- Premium leakage (the short fall in the premium collected if there is no anti-selection charge applied to the premiums)</t>
  </si>
  <si>
    <t>&lt;---- Premium Buy-down (assuming there is NOT a load for the anti-selection, this amount would be the decrease in the premiums collected after the rate increase and leaner benefit option was offered)</t>
  </si>
  <si>
    <t>There is no defined formula for buy-down in Skwire chp – 30 Managing Selection so shown below is how buy-down is defined in the Individual Insurance textbook Leida chp 4 – Managing Antiselection (along with a brief interpretation)</t>
  </si>
  <si>
    <t>&lt;--- Expected gross premium after buy-down (in other words this is the premium that we actually need to collect in order to cover the anti-selection we expect after buy-down)</t>
  </si>
  <si>
    <t>Expected gross prem</t>
  </si>
  <si>
    <t>Rel. Health factor</t>
  </si>
  <si>
    <t>Pure prem</t>
  </si>
  <si>
    <t>Prem</t>
  </si>
  <si>
    <t>EE Dist.</t>
  </si>
  <si>
    <t>Find the expected claims by plan using relative health factors (determined by the % PPO enrollment table above)</t>
  </si>
  <si>
    <t>&lt;---- actual premium collected after buy-down (assuming an anticipated anti-selection load is not added to the premiums)</t>
  </si>
  <si>
    <t>Avg.</t>
  </si>
  <si>
    <t>&lt;--- since contributions are 25% we choose this enrollment distribution based on the table above</t>
  </si>
  <si>
    <t>Enrollment distribution</t>
  </si>
  <si>
    <t>&lt;---- premium for an leaner benefit plan, priced as if all members were going to enroll in this plan</t>
  </si>
  <si>
    <t>&lt;---- assuming that this is the average premium of a PPO plan (on a stand alone basis) before it is combined with the premium of a second plan</t>
  </si>
  <si>
    <r>
      <t>&lt;--- under the assumption that the HSA premium would be built up from only the HSA claims (</t>
    </r>
    <r>
      <rPr>
        <b/>
        <sz val="11"/>
        <color theme="1"/>
        <rFont val="Calibri"/>
        <family val="2"/>
        <scheme val="minor"/>
      </rPr>
      <t>NOT</t>
    </r>
    <r>
      <rPr>
        <sz val="11"/>
        <color theme="1"/>
        <rFont val="Calibri"/>
        <family val="2"/>
        <scheme val="minor"/>
      </rPr>
      <t xml:space="preserve"> pooled with the rest of the groups products claims)</t>
    </r>
  </si>
  <si>
    <t>&lt;--- under the assumption that the HSA premium would be determined from claims that are pooled with all of the groups products</t>
  </si>
  <si>
    <t>HSA increase</t>
  </si>
  <si>
    <t>after selection</t>
  </si>
  <si>
    <t>Selection</t>
  </si>
  <si>
    <t>Implied Assumed Relative Health Status</t>
  </si>
  <si>
    <t>Implied enrollment mix</t>
  </si>
  <si>
    <t>ER % PPO contribution</t>
  </si>
  <si>
    <t>Rate increase</t>
  </si>
  <si>
    <t>Simpler Method</t>
  </si>
  <si>
    <t>&lt;----- assumes the recovery charge paid back over 2 years</t>
  </si>
  <si>
    <t>= (375 - 30) / F</t>
  </si>
  <si>
    <t>&lt;------ accumulated surplus from the perspective of the insurer</t>
  </si>
  <si>
    <r>
      <t xml:space="preserve">Account profit/loss with a </t>
    </r>
    <r>
      <rPr>
        <b/>
        <sz val="11"/>
        <color theme="1"/>
        <rFont val="Calibri"/>
        <family val="2"/>
        <scheme val="minor"/>
      </rPr>
      <t>deficit recovery arrangement</t>
    </r>
    <r>
      <rPr>
        <sz val="11"/>
        <color theme="1"/>
        <rFont val="Calibri"/>
        <family val="2"/>
        <scheme val="minor"/>
      </rPr>
      <t xml:space="preserve"> ('000s)</t>
    </r>
  </si>
  <si>
    <t>&lt;----- Policy holder cash flow under a deficit recovery arrangement</t>
  </si>
  <si>
    <t>Group Surplus / Deficit</t>
  </si>
  <si>
    <t>Cash flow under a deficit recovery arrangement ('000s)</t>
  </si>
  <si>
    <t>Total premium increase</t>
  </si>
  <si>
    <t>2019 Prem</t>
  </si>
  <si>
    <t>Renewal Rate Increase = Weighted LR / TLR -1</t>
  </si>
  <si>
    <t>TLR</t>
  </si>
  <si>
    <t>&lt;--- this method of using a credibility weighted LR is used in the source material, and it makes more sense when more than 1 year of experience is being used in the averaging</t>
  </si>
  <si>
    <t>Weighted Loss Ratio</t>
  </si>
  <si>
    <t>Dollars</t>
  </si>
  <si>
    <t>&lt;---- there is some inconsistencies with the information given and the experience given, we will assume the experience data is the preferred source</t>
  </si>
  <si>
    <t>Premium experience</t>
  </si>
  <si>
    <t>Claim trend</t>
  </si>
  <si>
    <t>Total Savings/(Cost)</t>
  </si>
  <si>
    <t>Savings PEPY</t>
  </si>
  <si>
    <t>Only New Plan Cost</t>
  </si>
  <si>
    <t>Current Cost PEPY</t>
  </si>
  <si>
    <t>&lt;----- Total cost per year</t>
  </si>
  <si>
    <t>&lt;--- Claims Cost Expected by Plan PEPY</t>
  </si>
  <si>
    <t>Post Sel. Cost</t>
  </si>
  <si>
    <t>Rel. Score</t>
  </si>
  <si>
    <t>Pre Sel. Cost</t>
  </si>
  <si>
    <t># EE's</t>
  </si>
  <si>
    <t>Total EE's</t>
  </si>
  <si>
    <t># EE</t>
  </si>
  <si>
    <t>Pre selection costs</t>
  </si>
  <si>
    <t>Util. Adj.</t>
  </si>
  <si>
    <t>Ben. Val.</t>
  </si>
  <si>
    <t>Exp. Period cost</t>
  </si>
  <si>
    <t>EE + Spouse</t>
  </si>
  <si>
    <t>&lt;25</t>
  </si>
  <si>
    <t>Family Composition</t>
  </si>
  <si>
    <t>Annual Salary</t>
  </si>
  <si>
    <t>Sex</t>
  </si>
  <si>
    <t xml:space="preserve">Exhibit – Census </t>
  </si>
  <si>
    <t>EE+ Children</t>
  </si>
  <si>
    <t xml:space="preserve">Exhibit – Premium PMPM </t>
  </si>
  <si>
    <t>&gt; $80,000</t>
  </si>
  <si>
    <t>$50,000 - $80,000</t>
  </si>
  <si>
    <t>$35,000 - $50,000</t>
  </si>
  <si>
    <t>&lt;$35,000</t>
  </si>
  <si>
    <t>Employer Contribution</t>
  </si>
  <si>
    <t xml:space="preserve">Dr. No’s provides all employees with a subsidy of $170 monthly per employee towards the 2021 health insurance premium </t>
  </si>
  <si>
    <t>a defined benefit approach where Dr. No contributes 22% toward premium</t>
  </si>
  <si>
    <t>Spring 2021 DP-C #4d</t>
  </si>
  <si>
    <t>Chiropractic</t>
  </si>
  <si>
    <t>Spouse</t>
  </si>
  <si>
    <t>Preventive Dental</t>
  </si>
  <si>
    <t>Employee</t>
  </si>
  <si>
    <t>Emergency Care</t>
  </si>
  <si>
    <t>Preventive Care</t>
  </si>
  <si>
    <t>Office Visit</t>
  </si>
  <si>
    <t>Allowed Cost</t>
  </si>
  <si>
    <t>Service Category</t>
  </si>
  <si>
    <t>Month of Service</t>
  </si>
  <si>
    <t>Claimant</t>
  </si>
  <si>
    <t xml:space="preserve">·        The annual claims history for a family of two:  </t>
  </si>
  <si>
    <t>·        The employer pays the entire premium for both plans.</t>
  </si>
  <si>
    <t>·        The employer offered benefit designs in Exhibit 1.</t>
  </si>
  <si>
    <t>Spring 2022 DP #2d</t>
  </si>
  <si>
    <t>Contribution %</t>
  </si>
  <si>
    <t>Employee + Family</t>
  </si>
  <si>
    <t>Employee + Spouse</t>
  </si>
  <si>
    <t>Scenario (iii)</t>
  </si>
  <si>
    <t>Scenario (ii)</t>
  </si>
  <si>
    <t>PPO with HSA</t>
  </si>
  <si>
    <t>Plan Type</t>
  </si>
  <si>
    <t>ABC has received the following 2023 PEPM renewal rates for its medical plan offerings:</t>
  </si>
  <si>
    <t>$150K or more</t>
  </si>
  <si>
    <t xml:space="preserve">PPO with HSA </t>
  </si>
  <si>
    <t>$75K to $100K</t>
  </si>
  <si>
    <t>$50K to $75K</t>
  </si>
  <si>
    <t>Less than $50K</t>
  </si>
  <si>
    <t>$100K to $150K</t>
  </si>
  <si>
    <t>Employee Count</t>
  </si>
  <si>
    <t>Salary Tier</t>
  </si>
  <si>
    <t>Coverage Tier</t>
  </si>
  <si>
    <t>ABC’s Employee Census All Years</t>
  </si>
  <si>
    <t>Employee Salary</t>
  </si>
  <si>
    <t>Portion of Medical Premium Paid by ABC</t>
  </si>
  <si>
    <t>2022 PEPM Medical Premium by Plan and Coverage Tier</t>
  </si>
  <si>
    <t>Fall 2022 DP #4c-e</t>
  </si>
  <si>
    <t>*no employer subsidy</t>
  </si>
  <si>
    <t>Y*</t>
  </si>
  <si>
    <t>Number of FTEs Offered Coverage</t>
  </si>
  <si>
    <t>Monthly Contribution for Single Coverage</t>
  </si>
  <si>
    <t>Actuarial Value</t>
  </si>
  <si>
    <t>Full Time Employees (FTEs)</t>
  </si>
  <si>
    <t>Division</t>
  </si>
  <si>
    <t>o All six have household incomes of less than $30,000 per year</t>
  </si>
  <si>
    <t>subsidies</t>
  </si>
  <si>
    <t>• Six of Division Y’s FTEs enrolled in Exchange plans and receive federal</t>
  </si>
  <si>
    <t>Exchange plan</t>
  </si>
  <si>
    <t>• One of Division X’s FTEs who was offered coverage, enrolled in an</t>
  </si>
  <si>
    <t>Exchange plan and received a federal subsidy</t>
  </si>
  <si>
    <t>• One of Division X’s FTEs who was not offered coverage, enrolled in an</t>
  </si>
  <si>
    <t>PPO Core</t>
  </si>
  <si>
    <t>PPO High</t>
  </si>
  <si>
    <t>$694 excludes claims paid with HRA</t>
  </si>
  <si>
    <t>CDHP with HRA</t>
  </si>
  <si>
    <t>CDHP with HSA</t>
  </si>
  <si>
    <t>Cost of Care Adjustment to Parent Carrier</t>
  </si>
  <si>
    <t>Actuarial Value Without Account Funding</t>
  </si>
  <si>
    <t>Claims Per Employee Per Month (PEPM)</t>
  </si>
  <si>
    <t>Subscriber Count</t>
  </si>
  <si>
    <t>Plan Design</t>
  </si>
  <si>
    <t>Carrier</t>
  </si>
  <si>
    <t>Part a</t>
  </si>
  <si>
    <t>Fall 2023 RM #3a, c</t>
  </si>
  <si>
    <t xml:space="preserve"> The value of the discount accrues towards the health plan cost sharing amount</t>
  </si>
  <si>
    <t>A manufacturer drug coupon for Drug X and only have to pay $10 out of pocket per script.</t>
  </si>
  <si>
    <t>Max Out of Pocket</t>
  </si>
  <si>
    <t>Family Deductible</t>
  </si>
  <si>
    <t>HMO-Major Med</t>
  </si>
  <si>
    <t>PPO-HDHP</t>
  </si>
  <si>
    <t>·         Claim #3: Employee specialist visit with allowed cost of $500</t>
  </si>
  <si>
    <t>·         Claim #2: Dependent pharmacy claim for Drug X with allowed cost of $5,000</t>
  </si>
  <si>
    <t>·         Claim #1: Employee outpatient surgery with allowed cost of $1,000</t>
  </si>
  <si>
    <t>Spring 2024 RM #3</t>
  </si>
  <si>
    <t>&lt;---- Given</t>
  </si>
  <si>
    <t>Current DC 170</t>
  </si>
  <si>
    <t>Change in EE Cost</t>
  </si>
  <si>
    <t>Defined benefit income base</t>
  </si>
  <si>
    <t>Defined Benefit 22%</t>
  </si>
  <si>
    <t>Total OOP costs for Covered benefits</t>
  </si>
  <si>
    <t>&lt;---- 10% coins is applied</t>
  </si>
  <si>
    <t xml:space="preserve">&lt;---- only pediatric dental is covered in the plan design. </t>
  </si>
  <si>
    <t>&lt;----- $150 copay applied then the 10% on the remaining amount of the allowed claim</t>
  </si>
  <si>
    <t>&lt;---- preventative is covered 100% so no member cost share</t>
  </si>
  <si>
    <t>&lt;--- Spouse reaches embedded $500 ded and enters coinsurance phase</t>
  </si>
  <si>
    <t>&lt;--- Deductible phase: Embedded nor family ded still not reached</t>
  </si>
  <si>
    <t>Aggregate</t>
  </si>
  <si>
    <t xml:space="preserve">Current </t>
  </si>
  <si>
    <t>ER pays</t>
  </si>
  <si>
    <t>Spouse Pays</t>
  </si>
  <si>
    <t>EE pays</t>
  </si>
  <si>
    <t>Family pays</t>
  </si>
  <si>
    <t>Under the PPO</t>
  </si>
  <si>
    <t>&lt;--- OOPM is reached here so the remaining covered claims are covered at 100%</t>
  </si>
  <si>
    <t>Under the HDHP</t>
  </si>
  <si>
    <t>There is a max of 10 chiro visits and the spouse has 6 visits so that is not a concern in the benefits processing for this example</t>
  </si>
  <si>
    <t xml:space="preserve"> All the dental costs here will be paid with cash at the point of service, with out any plan benefits</t>
  </si>
  <si>
    <t>This implies that the HDHP can use a embedded ded like is described at the bottom of the page showing Exhibit 1</t>
  </si>
  <si>
    <t>The individual ded of $3,000 is larger than the min required family ded for an HDHP (in 2019 this was $2,700)</t>
  </si>
  <si>
    <t>Benefit comments</t>
  </si>
  <si>
    <t>&lt;---- We are assuming that the contribution % from scenario (i) will also apply here</t>
  </si>
  <si>
    <t>ER Contribution</t>
  </si>
  <si>
    <t xml:space="preserve">Total Monthly </t>
  </si>
  <si>
    <t>(iv)</t>
  </si>
  <si>
    <t>Total Monthly ER Contribution</t>
  </si>
  <si>
    <t>Subject to U.S. Code Section 4980H(b) penalty</t>
  </si>
  <si>
    <t>Subject to U.S. Code Section 4980H(a) penalty</t>
  </si>
  <si>
    <t>Affordable coverage</t>
  </si>
  <si>
    <t>Essential coverage offered</t>
  </si>
  <si>
    <t>Offer to 95% of EE's</t>
  </si>
  <si>
    <t>Over 50 EE's</t>
  </si>
  <si>
    <t>ALE</t>
  </si>
  <si>
    <t>Safe harbor monthly EE prem check</t>
  </si>
  <si>
    <t>AV min</t>
  </si>
  <si>
    <t>% of Household income minimum</t>
  </si>
  <si>
    <t>Coverage offer min</t>
  </si>
  <si>
    <t>FPL</t>
  </si>
  <si>
    <t>EE min</t>
  </si>
  <si>
    <t>Total adjusted claims</t>
  </si>
  <si>
    <t>AV Adj. to CDHP with HSA</t>
  </si>
  <si>
    <t>Difference in cost share between the two plans</t>
  </si>
  <si>
    <t>#3</t>
  </si>
  <si>
    <t>&lt;---- we are told that the discount accrues towards the members cost share amount thus, as in part d above, claim #2 cost share payments are in the coinsurance phase</t>
  </si>
  <si>
    <t>#2</t>
  </si>
  <si>
    <t>#1</t>
  </si>
  <si>
    <t>Manufacturer</t>
  </si>
  <si>
    <t>Claim #</t>
  </si>
  <si>
    <t>&lt;---- we are told that the discount accrues towards the members cost share amount thus, as in part d above, claim #2 cost share payments met the deductible and enter into the coinsurance phase</t>
  </si>
  <si>
    <t>&lt;---- the total amount paid by the member is equal to the OOPM</t>
  </si>
  <si>
    <t>&lt;---- claim #3 is entirely by the plan since the family has reached the OOPM</t>
  </si>
  <si>
    <t>&lt;---- begins the coinsurance phase and also reaches the OOPM</t>
  </si>
  <si>
    <t>&lt;---- met the deductible exactly</t>
  </si>
  <si>
    <t>&lt;--- usually a family non-HDHP's use a individual embedded deductible basis, however since no individual deductible or other guidance is given we will assume that an aggregate deductible basis is used</t>
  </si>
  <si>
    <t>&lt;---- the total amount paid by the member is less than the OOPM so there is no need to go back and cap any of the members payments</t>
  </si>
  <si>
    <t>&lt;---- claim #3 is entirely in the coinsurance phase</t>
  </si>
  <si>
    <t>&lt;---- met the deductible and begins the coinsurance phase</t>
  </si>
  <si>
    <t xml:space="preserve">&lt;---- all towards meeting the deductible </t>
  </si>
  <si>
    <t>&lt;--- it is assumed that the benefit is on an aggregate deductible basis, which is typical for a HDHP with a family deductible as low as this one</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</si>
  <si>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</si>
  <si>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</si>
  <si>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</si>
  <si>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</si>
  <si>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</si>
  <si>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</si>
  <si>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</si>
  <si>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</si>
  <si>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</si>
  <si>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</si>
  <si>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GH 101 - Benefits and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</si>
</sst>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_(* #,##0.0000_);_(* \(#,##0.0000\);_(* &quot;-&quot;??_);_(@_)"/>
    <numFmt numFmtId="167" formatCode="&quot;$&quot;#,##0"/>
    <numFmt numFmtId="168" formatCode="_(* #,##0_);_(* \(#,##0\);_(* &quot;-&quot;??_);_(@_)"/>
    <numFmt numFmtId="169" formatCode="_(&quot;$&quot;* #,##0_);_(&quot;$&quot;* \(#,##0\);_(&quot;$&quot;* &quot;-&quot;??_);_(@_)"/>
    <numFmt numFmtId="170" formatCode="0.00000000000000%"/>
    <numFmt numFmtId="171" formatCode="0.000%"/>
    <numFmt numFmtId="172" formatCode="0.000"/>
    <numFmt numFmtId="173" formatCode="&quot;$&quot;#,##0.000"/>
    <numFmt numFmtId="174" formatCode="#,##0.000"/>
    <numFmt numFmtId="175" formatCode="#,##0.0"/>
    <numFmt numFmtId="176" formatCode="_(* #,##0.000_);_(* \(#,##0.000\);_(* &quot;-&quot;??_);_(@_)"/>
    <numFmt numFmtId="177" formatCode="#,##0.0000_);\(#,##0.0000\)"/>
    <numFmt numFmtId="178" formatCode="0.000000000%"/>
    <numFmt numFmtId="179" formatCode="0.0000"/>
  </numFmts>
  <fonts count="27" x14ac:knownFonts="1">
    <font>
      <sz val="11"/>
      <color theme="1"/>
      <name val="Calibri"/>
      <family val="2"/>
      <scheme val="minor"/>
    </font>
    <font>
      <sz val="11"/>
      <color theme="1"/>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u/>
      <sz val="11"/>
      <color theme="1"/>
      <name val="Calibri"/>
      <family val="2"/>
      <scheme val="minor"/>
    </font>
    <font>
      <sz val="12"/>
      <color rgb="FF000000"/>
      <name val="Calibri"/>
      <family val="2"/>
      <scheme val="minor"/>
    </font>
    <font>
      <b/>
      <u/>
      <sz val="11"/>
      <color theme="1"/>
      <name val="Calibri"/>
      <family val="2"/>
      <scheme val="minor"/>
    </font>
    <font>
      <b/>
      <sz val="9"/>
      <color indexed="81"/>
      <name val="Tahoma"/>
      <family val="2"/>
    </font>
    <font>
      <sz val="9"/>
      <color indexed="81"/>
      <name val="Tahoma"/>
      <family val="2"/>
    </font>
    <font>
      <i/>
      <sz val="11"/>
      <color theme="1"/>
      <name val="Calibri"/>
      <family val="2"/>
      <scheme val="minor"/>
    </font>
    <font>
      <sz val="11"/>
      <color theme="1"/>
      <name val="Times New Roman"/>
      <family val="1"/>
    </font>
    <font>
      <b/>
      <sz val="11"/>
      <color theme="1"/>
      <name val="Times New Roman"/>
      <family val="1"/>
    </font>
    <font>
      <sz val="11"/>
      <name val="Calibri"/>
      <family val="2"/>
      <scheme val="minor"/>
    </font>
    <font>
      <u/>
      <sz val="11"/>
      <name val="Calibri"/>
      <family val="2"/>
      <scheme val="minor"/>
    </font>
    <font>
      <u/>
      <sz val="11"/>
      <color theme="10"/>
      <name val="Calibri"/>
      <family val="2"/>
      <scheme val="minor"/>
    </font>
    <font>
      <sz val="12"/>
      <color theme="1"/>
      <name val="Times New Roman"/>
      <family val="1"/>
    </font>
    <font>
      <sz val="12"/>
      <name val="Times New Roman"/>
      <family val="1"/>
    </font>
    <font>
      <b/>
      <i/>
      <sz val="12"/>
      <color rgb="FF7030A0"/>
      <name val="Times New Roman"/>
      <family val="1"/>
    </font>
    <font>
      <sz val="11"/>
      <color rgb="FF000000"/>
      <name val="Times New Roman"/>
      <family val="1"/>
    </font>
    <font>
      <b/>
      <sz val="11"/>
      <color rgb="FF000000"/>
      <name val="Times New Roman"/>
      <family val="1"/>
    </font>
    <font>
      <sz val="12"/>
      <color rgb="FF000000"/>
      <name val="Times New Roman"/>
      <family val="1"/>
    </font>
    <font>
      <b/>
      <sz val="26"/>
      <color theme="4"/>
      <name val="Calibri Light"/>
      <family val="2"/>
    </font>
    <font>
      <sz val="11"/>
      <color theme="4"/>
      <name val="Calibri"/>
      <family val="2"/>
      <scheme val="minor"/>
    </font>
    <font>
      <sz val="16"/>
      <color theme="4"/>
      <name val="Calibri Light"/>
      <family val="2"/>
      <scheme val="major"/>
    </font>
    <font>
      <sz val="11"/>
      <name val="Aptos Narrow"/>
      <family val="2"/>
    </font>
    <font>
      <sz val="10"/>
      <color theme="1"/>
      <name val="Calibri"/>
      <family val="2"/>
      <scheme val="minor"/>
    </font>
  </fonts>
  <fills count="13">
    <fill>
      <patternFill patternType="none"/>
    </fill>
    <fill>
      <patternFill patternType="gray125"/>
    </fill>
    <fill>
      <patternFill patternType="solid">
        <fgColor rgb="FFF2F2F2"/>
      </patternFill>
    </fill>
    <fill>
      <patternFill patternType="solid">
        <fgColor rgb="FFA5A5A5"/>
      </patternFill>
    </fill>
    <fill>
      <patternFill patternType="solid">
        <fgColor rgb="FFFFFFCC"/>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92D050"/>
        <bgColor rgb="FF92D050"/>
      </patternFill>
    </fill>
    <fill>
      <patternFill patternType="solid">
        <fgColor rgb="FF92CDDC"/>
        <bgColor indexed="64"/>
      </patternFill>
    </fill>
    <fill>
      <patternFill patternType="solid">
        <fgColor theme="7" tint="0.59999389629810485"/>
        <bgColor indexed="64"/>
      </patternFill>
    </fill>
  </fills>
  <borders count="5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bottom style="thin">
        <color rgb="FFB2B2B2"/>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thin">
        <color rgb="FFB2B2B2"/>
      </left>
      <right/>
      <top/>
      <bottom style="thin">
        <color rgb="FFB2B2B2"/>
      </bottom>
      <diagonal/>
    </border>
    <border>
      <left/>
      <right style="thin">
        <color rgb="FFB2B2B2"/>
      </right>
      <top/>
      <bottom style="thin">
        <color rgb="FFB2B2B2"/>
      </bottom>
      <diagonal/>
    </border>
    <border>
      <left/>
      <right/>
      <top/>
      <bottom style="thin">
        <color rgb="FFB2B2B2"/>
      </bottom>
      <diagonal/>
    </border>
    <border>
      <left/>
      <right style="thin">
        <color rgb="FFB2B2B2"/>
      </right>
      <top/>
      <bottom/>
      <diagonal/>
    </border>
    <border>
      <left style="thin">
        <color rgb="FFB2B2B2"/>
      </left>
      <right/>
      <top/>
      <bottom/>
      <diagonal/>
    </border>
    <border>
      <left/>
      <right style="thin">
        <color rgb="FFB2B2B2"/>
      </right>
      <top style="thin">
        <color rgb="FFB2B2B2"/>
      </top>
      <bottom/>
      <diagonal/>
    </border>
    <border>
      <left/>
      <right/>
      <top style="thin">
        <color rgb="FFB2B2B2"/>
      </top>
      <bottom/>
      <diagonal/>
    </border>
    <border>
      <left style="thin">
        <color rgb="FFB2B2B2"/>
      </left>
      <right/>
      <top style="thin">
        <color rgb="FFB2B2B2"/>
      </top>
      <bottom/>
      <diagonal/>
    </border>
    <border>
      <left style="thin">
        <color rgb="FF000000"/>
      </left>
      <right style="thin">
        <color indexed="64"/>
      </right>
      <top style="thin">
        <color rgb="FF000000"/>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style="medium">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right style="thick">
        <color indexed="64"/>
      </right>
      <top/>
      <bottom style="medium">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1" fillId="4" borderId="3" applyNumberFormat="0" applyFont="0" applyAlignment="0" applyProtection="0"/>
    <xf numFmtId="0" fontId="15" fillId="0" borderId="0" applyNumberFormat="0" applyFill="0" applyBorder="0" applyAlignment="0" applyProtection="0"/>
  </cellStyleXfs>
  <cellXfs count="440">
    <xf numFmtId="0" fontId="0" fillId="0" borderId="0" xfId="0"/>
    <xf numFmtId="6" fontId="0" fillId="0" borderId="0" xfId="0" applyNumberFormat="1" applyAlignment="1">
      <alignment horizontal="center"/>
    </xf>
    <xf numFmtId="9" fontId="0" fillId="0" borderId="0" xfId="0" applyNumberFormat="1" applyAlignment="1">
      <alignment horizontal="center"/>
    </xf>
    <xf numFmtId="0" fontId="0" fillId="0" borderId="4" xfId="0" applyBorder="1" applyAlignment="1">
      <alignment horizontal="center" vertical="center" wrapText="1"/>
    </xf>
    <xf numFmtId="6" fontId="0" fillId="0" borderId="0" xfId="0" applyNumberFormat="1"/>
    <xf numFmtId="164" fontId="0" fillId="5" borderId="8" xfId="0" applyNumberFormat="1" applyFill="1" applyBorder="1"/>
    <xf numFmtId="0" fontId="0" fillId="5" borderId="8" xfId="0" applyFill="1" applyBorder="1"/>
    <xf numFmtId="0" fontId="3" fillId="3" borderId="2" xfId="5"/>
    <xf numFmtId="0" fontId="2" fillId="2" borderId="1" xfId="4"/>
    <xf numFmtId="0" fontId="0" fillId="4" borderId="9" xfId="6" applyFont="1" applyBorder="1"/>
    <xf numFmtId="0" fontId="0" fillId="0" borderId="5" xfId="0" applyBorder="1"/>
    <xf numFmtId="0" fontId="4" fillId="0" borderId="7" xfId="0" applyFont="1" applyBorder="1"/>
    <xf numFmtId="165" fontId="0" fillId="5" borderId="8" xfId="3" applyNumberFormat="1" applyFont="1" applyFill="1" applyBorder="1"/>
    <xf numFmtId="165" fontId="0" fillId="0" borderId="0" xfId="3" applyNumberFormat="1" applyFont="1" applyAlignment="1">
      <alignment horizontal="center"/>
    </xf>
    <xf numFmtId="0" fontId="0" fillId="0" borderId="0" xfId="0" applyAlignment="1">
      <alignment horizontal="center"/>
    </xf>
    <xf numFmtId="8" fontId="0" fillId="0" borderId="0" xfId="0" applyNumberFormat="1" applyAlignment="1">
      <alignment horizontal="center"/>
    </xf>
    <xf numFmtId="8" fontId="0" fillId="0" borderId="10" xfId="0" applyNumberFormat="1" applyBorder="1" applyAlignment="1">
      <alignment horizontal="center"/>
    </xf>
    <xf numFmtId="6" fontId="0" fillId="0" borderId="4" xfId="0" applyNumberFormat="1" applyBorder="1" applyAlignment="1">
      <alignment horizontal="center"/>
    </xf>
    <xf numFmtId="6" fontId="0" fillId="0" borderId="11" xfId="0" applyNumberFormat="1" applyBorder="1" applyAlignment="1">
      <alignment horizontal="center"/>
    </xf>
    <xf numFmtId="9" fontId="0" fillId="0" borderId="4" xfId="0" applyNumberFormat="1" applyBorder="1" applyAlignment="1">
      <alignment horizontal="center"/>
    </xf>
    <xf numFmtId="6" fontId="0" fillId="0" borderId="10" xfId="0" applyNumberFormat="1" applyBorder="1" applyAlignment="1">
      <alignment horizontal="center"/>
    </xf>
    <xf numFmtId="0" fontId="0" fillId="0" borderId="4" xfId="0" applyBorder="1" applyAlignment="1">
      <alignment horizontal="center" wrapText="1"/>
    </xf>
    <xf numFmtId="0" fontId="0" fillId="0" borderId="11" xfId="0" applyBorder="1" applyAlignment="1">
      <alignment horizontal="center" wrapText="1"/>
    </xf>
    <xf numFmtId="0" fontId="0" fillId="0" borderId="4" xfId="0" applyBorder="1" applyAlignment="1">
      <alignment horizontal="center"/>
    </xf>
    <xf numFmtId="0" fontId="0" fillId="0" borderId="11" xfId="0" applyBorder="1" applyAlignment="1">
      <alignment horizontal="center"/>
    </xf>
    <xf numFmtId="0" fontId="5" fillId="0" borderId="0" xfId="0" applyFont="1" applyAlignment="1">
      <alignment horizontal="center"/>
    </xf>
    <xf numFmtId="0" fontId="0" fillId="0" borderId="4" xfId="0" applyBorder="1"/>
    <xf numFmtId="8" fontId="0" fillId="0" borderId="12" xfId="0" applyNumberFormat="1" applyBorder="1" applyAlignment="1">
      <alignment horizontal="center" vertical="center"/>
    </xf>
    <xf numFmtId="8" fontId="0" fillId="0" borderId="13" xfId="0" applyNumberFormat="1" applyBorder="1" applyAlignment="1">
      <alignment horizontal="center" vertical="center"/>
    </xf>
    <xf numFmtId="8" fontId="0" fillId="0" borderId="4" xfId="0" applyNumberFormat="1" applyBorder="1" applyAlignment="1">
      <alignment horizontal="center" vertical="center"/>
    </xf>
    <xf numFmtId="0" fontId="0" fillId="0" borderId="13" xfId="0" applyBorder="1"/>
    <xf numFmtId="8" fontId="0" fillId="0" borderId="14" xfId="0" applyNumberFormat="1" applyBorder="1" applyAlignment="1">
      <alignment horizontal="center" vertical="center"/>
    </xf>
    <xf numFmtId="8" fontId="0" fillId="0" borderId="15" xfId="0" applyNumberFormat="1" applyBorder="1" applyAlignment="1">
      <alignment horizontal="center" vertical="center"/>
    </xf>
    <xf numFmtId="8" fontId="0" fillId="0" borderId="0" xfId="0" applyNumberFormat="1" applyAlignment="1">
      <alignment horizontal="center" vertical="center"/>
    </xf>
    <xf numFmtId="0" fontId="0" fillId="0" borderId="15" xfId="0" applyBorder="1"/>
    <xf numFmtId="9" fontId="0" fillId="0" borderId="12" xfId="0" applyNumberFormat="1" applyBorder="1" applyAlignment="1">
      <alignment horizontal="center" vertical="center"/>
    </xf>
    <xf numFmtId="9" fontId="0" fillId="0" borderId="13" xfId="0" applyNumberFormat="1" applyBorder="1" applyAlignment="1">
      <alignment horizontal="center" vertical="center"/>
    </xf>
    <xf numFmtId="9" fontId="0" fillId="0" borderId="4" xfId="0" applyNumberFormat="1" applyBorder="1" applyAlignment="1">
      <alignment horizontal="center" vertical="center"/>
    </xf>
    <xf numFmtId="9" fontId="0" fillId="0" borderId="14" xfId="0" applyNumberFormat="1" applyBorder="1" applyAlignment="1">
      <alignment horizontal="center" vertical="center"/>
    </xf>
    <xf numFmtId="9" fontId="0" fillId="0" borderId="15" xfId="0" applyNumberFormat="1" applyBorder="1" applyAlignment="1">
      <alignment horizontal="center" vertical="center"/>
    </xf>
    <xf numFmtId="9" fontId="0" fillId="0" borderId="0" xfId="0" applyNumberFormat="1" applyAlignment="1">
      <alignment horizontal="center" vertical="center"/>
    </xf>
    <xf numFmtId="9" fontId="0" fillId="0" borderId="16" xfId="0" applyNumberFormat="1" applyBorder="1" applyAlignment="1">
      <alignment horizontal="center" vertical="center"/>
    </xf>
    <xf numFmtId="9" fontId="0" fillId="0" borderId="17" xfId="0" applyNumberFormat="1" applyBorder="1" applyAlignment="1">
      <alignment horizontal="center" vertical="center"/>
    </xf>
    <xf numFmtId="9" fontId="0" fillId="0" borderId="18" xfId="0" applyNumberFormat="1" applyBorder="1" applyAlignment="1">
      <alignment horizontal="center" vertical="center"/>
    </xf>
    <xf numFmtId="0" fontId="0" fillId="0" borderId="17" xfId="0" applyBorder="1"/>
    <xf numFmtId="6" fontId="0" fillId="0" borderId="14" xfId="0" applyNumberFormat="1" applyBorder="1" applyAlignment="1">
      <alignment horizontal="center" vertical="center"/>
    </xf>
    <xf numFmtId="6" fontId="0" fillId="0" borderId="15" xfId="0" applyNumberFormat="1" applyBorder="1" applyAlignment="1">
      <alignment horizontal="center" vertical="center"/>
    </xf>
    <xf numFmtId="6" fontId="0" fillId="0" borderId="0" xfId="0" applyNumberFormat="1" applyAlignment="1">
      <alignment horizontal="center" vertical="center"/>
    </xf>
    <xf numFmtId="6" fontId="0" fillId="0" borderId="16" xfId="0" applyNumberFormat="1" applyBorder="1" applyAlignment="1">
      <alignment horizontal="center" vertical="center"/>
    </xf>
    <xf numFmtId="6" fontId="0" fillId="0" borderId="17" xfId="0" applyNumberFormat="1" applyBorder="1" applyAlignment="1">
      <alignment horizontal="center" vertical="center"/>
    </xf>
    <xf numFmtId="6" fontId="0" fillId="0" borderId="18" xfId="0" applyNumberFormat="1" applyBorder="1" applyAlignment="1">
      <alignment horizontal="center" vertic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0" xfId="0" applyBorder="1"/>
    <xf numFmtId="9" fontId="0" fillId="0" borderId="0" xfId="3" applyFont="1"/>
    <xf numFmtId="8" fontId="0" fillId="0" borderId="0" xfId="0" applyNumberFormat="1"/>
    <xf numFmtId="165" fontId="0" fillId="0" borderId="0" xfId="3" applyNumberFormat="1" applyFont="1"/>
    <xf numFmtId="9" fontId="0" fillId="0" borderId="8" xfId="0" applyNumberFormat="1" applyBorder="1" applyAlignment="1">
      <alignment horizontal="center" vertical="center"/>
    </xf>
    <xf numFmtId="0" fontId="0" fillId="0" borderId="8" xfId="0" applyBorder="1" applyAlignment="1">
      <alignment horizontal="center"/>
    </xf>
    <xf numFmtId="6" fontId="0" fillId="0" borderId="12" xfId="0" applyNumberFormat="1" applyBorder="1" applyAlignment="1">
      <alignment horizontal="center"/>
    </xf>
    <xf numFmtId="0" fontId="0" fillId="0" borderId="13" xfId="0" applyBorder="1" applyAlignment="1">
      <alignment horizontal="center"/>
    </xf>
    <xf numFmtId="6" fontId="0" fillId="0" borderId="14" xfId="0" applyNumberFormat="1" applyBorder="1" applyAlignment="1">
      <alignment horizontal="center"/>
    </xf>
    <xf numFmtId="3" fontId="0" fillId="0" borderId="15" xfId="0" applyNumberFormat="1" applyBorder="1" applyAlignment="1">
      <alignment horizontal="center"/>
    </xf>
    <xf numFmtId="0" fontId="0" fillId="0" borderId="15" xfId="0" applyBorder="1" applyAlignment="1">
      <alignment horizontal="center"/>
    </xf>
    <xf numFmtId="3" fontId="0" fillId="0" borderId="17" xfId="0" applyNumberFormat="1" applyBorder="1" applyAlignment="1">
      <alignment horizontal="center"/>
    </xf>
    <xf numFmtId="0" fontId="0" fillId="0" borderId="8" xfId="0" applyBorder="1" applyAlignment="1">
      <alignment horizontal="center" vertical="center" wrapText="1"/>
    </xf>
    <xf numFmtId="0" fontId="0" fillId="0" borderId="20" xfId="0" applyBorder="1" applyAlignment="1">
      <alignment horizontal="center"/>
    </xf>
    <xf numFmtId="0" fontId="0" fillId="0" borderId="12" xfId="0" applyBorder="1" applyAlignment="1">
      <alignment horizontal="center"/>
    </xf>
    <xf numFmtId="9" fontId="0" fillId="0" borderId="13" xfId="0" applyNumberFormat="1" applyBorder="1" applyAlignment="1">
      <alignment horizontal="center"/>
    </xf>
    <xf numFmtId="9" fontId="0" fillId="0" borderId="14" xfId="0" applyNumberFormat="1" applyBorder="1" applyAlignment="1">
      <alignment horizontal="center"/>
    </xf>
    <xf numFmtId="9" fontId="0" fillId="0" borderId="15" xfId="0" applyNumberFormat="1" applyBorder="1" applyAlignment="1">
      <alignment horizontal="center"/>
    </xf>
    <xf numFmtId="0" fontId="0" fillId="0" borderId="10" xfId="0" applyBorder="1" applyAlignment="1">
      <alignment horizontal="center"/>
    </xf>
    <xf numFmtId="0" fontId="0" fillId="0" borderId="22" xfId="0" applyBorder="1" applyAlignment="1">
      <alignment horizontal="center"/>
    </xf>
    <xf numFmtId="8" fontId="0" fillId="0" borderId="12" xfId="0" applyNumberFormat="1" applyBorder="1" applyAlignment="1">
      <alignment horizontal="center"/>
    </xf>
    <xf numFmtId="10" fontId="0" fillId="0" borderId="13" xfId="0" applyNumberFormat="1" applyBorder="1" applyAlignment="1">
      <alignment horizontal="center"/>
    </xf>
    <xf numFmtId="8" fontId="0" fillId="0" borderId="14" xfId="0" applyNumberFormat="1" applyBorder="1" applyAlignment="1">
      <alignment horizontal="center"/>
    </xf>
    <xf numFmtId="10" fontId="0" fillId="0" borderId="15" xfId="0" applyNumberFormat="1" applyBorder="1" applyAlignment="1">
      <alignment horizontal="center"/>
    </xf>
    <xf numFmtId="8" fontId="0" fillId="0" borderId="16" xfId="0" applyNumberFormat="1" applyBorder="1" applyAlignment="1">
      <alignment horizontal="center"/>
    </xf>
    <xf numFmtId="10" fontId="0" fillId="0" borderId="17" xfId="0" applyNumberFormat="1" applyBorder="1" applyAlignment="1">
      <alignment horizontal="center"/>
    </xf>
    <xf numFmtId="6" fontId="0" fillId="0" borderId="19" xfId="0" applyNumberFormat="1" applyBorder="1" applyAlignment="1">
      <alignment horizont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xf>
    <xf numFmtId="0" fontId="0" fillId="0" borderId="0" xfId="0" applyAlignment="1">
      <alignment horizontal="right"/>
    </xf>
    <xf numFmtId="166" fontId="0" fillId="0" borderId="0" xfId="1" applyNumberFormat="1" applyFont="1"/>
    <xf numFmtId="165" fontId="0" fillId="0" borderId="0" xfId="0" applyNumberFormat="1"/>
    <xf numFmtId="2" fontId="0" fillId="0" borderId="0" xfId="0" applyNumberFormat="1"/>
    <xf numFmtId="167" fontId="0" fillId="0" borderId="0" xfId="0" applyNumberFormat="1"/>
    <xf numFmtId="3" fontId="0" fillId="0" borderId="10" xfId="0" applyNumberFormat="1" applyBorder="1"/>
    <xf numFmtId="3" fontId="0" fillId="0" borderId="0" xfId="0" applyNumberFormat="1"/>
    <xf numFmtId="0" fontId="0" fillId="0" borderId="11" xfId="0" applyBorder="1"/>
    <xf numFmtId="168" fontId="0" fillId="0" borderId="0" xfId="1" applyNumberFormat="1" applyFont="1"/>
    <xf numFmtId="37" fontId="0" fillId="0" borderId="0" xfId="1" applyNumberFormat="1" applyFont="1" applyAlignment="1">
      <alignment horizontal="center"/>
    </xf>
    <xf numFmtId="5" fontId="0" fillId="0" borderId="0" xfId="1" applyNumberFormat="1" applyFont="1" applyAlignment="1">
      <alignment horizontal="center"/>
    </xf>
    <xf numFmtId="9" fontId="0" fillId="0" borderId="0" xfId="3" applyFont="1" applyAlignment="1">
      <alignment horizontal="center"/>
    </xf>
    <xf numFmtId="5" fontId="0" fillId="0" borderId="0" xfId="2" applyNumberFormat="1" applyFont="1" applyAlignment="1">
      <alignment horizontal="center"/>
    </xf>
    <xf numFmtId="0" fontId="0" fillId="0" borderId="0" xfId="0" applyAlignment="1">
      <alignment horizontal="center" vertical="center" wrapText="1"/>
    </xf>
    <xf numFmtId="9" fontId="0" fillId="0" borderId="0" xfId="0" applyNumberFormat="1"/>
    <xf numFmtId="0" fontId="5" fillId="0" borderId="0" xfId="0" applyFont="1"/>
    <xf numFmtId="169" fontId="0" fillId="0" borderId="0" xfId="2" applyNumberFormat="1" applyFont="1"/>
    <xf numFmtId="169" fontId="0" fillId="0" borderId="4" xfId="2" applyNumberFormat="1" applyFont="1" applyBorder="1"/>
    <xf numFmtId="9" fontId="0" fillId="0" borderId="4" xfId="3" applyFont="1" applyBorder="1"/>
    <xf numFmtId="9" fontId="6" fillId="0" borderId="0" xfId="0" applyNumberFormat="1" applyFont="1" applyAlignment="1">
      <alignment horizontal="right" vertical="center" wrapText="1"/>
    </xf>
    <xf numFmtId="9" fontId="6" fillId="0" borderId="0" xfId="0" applyNumberFormat="1" applyFont="1" applyAlignment="1">
      <alignment horizontal="right" vertical="center"/>
    </xf>
    <xf numFmtId="6" fontId="6" fillId="0" borderId="0" xfId="0" applyNumberFormat="1" applyFont="1" applyAlignment="1">
      <alignment horizontal="right" vertical="center" wrapText="1"/>
    </xf>
    <xf numFmtId="0" fontId="0" fillId="0" borderId="14" xfId="0" applyBorder="1"/>
    <xf numFmtId="0" fontId="0" fillId="0" borderId="14" xfId="0" applyBorder="1" applyAlignment="1">
      <alignment horizontal="center"/>
    </xf>
    <xf numFmtId="167" fontId="0" fillId="0" borderId="0" xfId="0" applyNumberFormat="1" applyAlignment="1">
      <alignment horizontal="center"/>
    </xf>
    <xf numFmtId="164" fontId="0" fillId="0" borderId="0" xfId="0" applyNumberFormat="1"/>
    <xf numFmtId="7" fontId="0" fillId="0" borderId="0" xfId="2" applyNumberFormat="1" applyFont="1"/>
    <xf numFmtId="44" fontId="0" fillId="0" borderId="0" xfId="2" applyFont="1"/>
    <xf numFmtId="0" fontId="4" fillId="0" borderId="0" xfId="0" applyFont="1" applyAlignment="1">
      <alignment horizontal="center"/>
    </xf>
    <xf numFmtId="10" fontId="0" fillId="0" borderId="12" xfId="0" applyNumberFormat="1" applyBorder="1" applyAlignment="1">
      <alignment horizontal="center"/>
    </xf>
    <xf numFmtId="10" fontId="0" fillId="0" borderId="14" xfId="0" applyNumberFormat="1" applyBorder="1" applyAlignment="1">
      <alignment horizontal="center"/>
    </xf>
    <xf numFmtId="10" fontId="0" fillId="0" borderId="16" xfId="0" applyNumberFormat="1" applyBorder="1" applyAlignment="1">
      <alignment horizontal="center"/>
    </xf>
    <xf numFmtId="6" fontId="0" fillId="0" borderId="18" xfId="0" applyNumberFormat="1"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7" borderId="0" xfId="0" applyFill="1" applyAlignment="1">
      <alignment horizontal="center"/>
    </xf>
    <xf numFmtId="0" fontId="0" fillId="7" borderId="8" xfId="0" applyFill="1" applyBorder="1"/>
    <xf numFmtId="0" fontId="1" fillId="0" borderId="0" xfId="0" applyFont="1"/>
    <xf numFmtId="8" fontId="1" fillId="0" borderId="0" xfId="0" applyNumberFormat="1" applyFont="1"/>
    <xf numFmtId="9" fontId="1" fillId="0" borderId="0" xfId="0" applyNumberFormat="1" applyFont="1"/>
    <xf numFmtId="6" fontId="1" fillId="0" borderId="0" xfId="0" applyNumberFormat="1" applyFont="1"/>
    <xf numFmtId="3" fontId="1" fillId="0" borderId="0" xfId="0" applyNumberFormat="1" applyFont="1"/>
    <xf numFmtId="164" fontId="1" fillId="5" borderId="8" xfId="0" applyNumberFormat="1" applyFont="1" applyFill="1" applyBorder="1"/>
    <xf numFmtId="0" fontId="1" fillId="5" borderId="8" xfId="0" applyFont="1" applyFill="1" applyBorder="1"/>
    <xf numFmtId="0" fontId="1" fillId="4" borderId="9" xfId="6" applyFont="1" applyBorder="1"/>
    <xf numFmtId="0" fontId="1" fillId="0" borderId="5" xfId="0" applyFont="1" applyBorder="1"/>
    <xf numFmtId="3" fontId="0" fillId="0" borderId="0" xfId="0" applyNumberFormat="1" applyAlignment="1">
      <alignment horizontal="center"/>
    </xf>
    <xf numFmtId="0" fontId="0" fillId="0" borderId="4" xfId="0" applyBorder="1" applyAlignment="1">
      <alignment horizontal="left"/>
    </xf>
    <xf numFmtId="8" fontId="0" fillId="0" borderId="4" xfId="0" applyNumberFormat="1" applyBorder="1" applyAlignment="1">
      <alignment horizontal="center"/>
    </xf>
    <xf numFmtId="3" fontId="0" fillId="0" borderId="4" xfId="0" applyNumberFormat="1" applyBorder="1" applyAlignment="1">
      <alignment horizontal="center"/>
    </xf>
    <xf numFmtId="0" fontId="0" fillId="4" borderId="9" xfId="6" applyFont="1" applyBorder="1" applyAlignment="1">
      <alignment horizontal="left" indent="1"/>
    </xf>
    <xf numFmtId="0" fontId="7" fillId="0" borderId="0" xfId="0" applyFont="1"/>
    <xf numFmtId="10" fontId="0" fillId="0" borderId="0" xfId="0" applyNumberFormat="1"/>
    <xf numFmtId="164" fontId="0" fillId="0" borderId="0" xfId="0" applyNumberFormat="1" applyAlignment="1">
      <alignment horizontal="center"/>
    </xf>
    <xf numFmtId="0" fontId="5" fillId="0" borderId="23" xfId="0" applyFont="1" applyBorder="1"/>
    <xf numFmtId="165" fontId="4" fillId="0" borderId="0" xfId="3" applyNumberFormat="1" applyFont="1"/>
    <xf numFmtId="0" fontId="4" fillId="0" borderId="0" xfId="0" applyFont="1" applyAlignment="1">
      <alignment horizontal="right"/>
    </xf>
    <xf numFmtId="170" fontId="0" fillId="0" borderId="0" xfId="0" applyNumberFormat="1"/>
    <xf numFmtId="10" fontId="0" fillId="5" borderId="8" xfId="3" applyNumberFormat="1" applyFont="1" applyFill="1" applyBorder="1"/>
    <xf numFmtId="0" fontId="4" fillId="0" borderId="0" xfId="0" applyFont="1" applyAlignment="1">
      <alignment horizontal="left"/>
    </xf>
    <xf numFmtId="10" fontId="0" fillId="0" borderId="0" xfId="3" applyNumberFormat="1" applyFont="1"/>
    <xf numFmtId="165" fontId="3" fillId="3" borderId="2" xfId="5" applyNumberFormat="1"/>
    <xf numFmtId="171" fontId="0" fillId="0" borderId="0" xfId="3" applyNumberFormat="1" applyFont="1"/>
    <xf numFmtId="7" fontId="0" fillId="0" borderId="0" xfId="0" applyNumberFormat="1"/>
    <xf numFmtId="172" fontId="0" fillId="0" borderId="0" xfId="0" applyNumberFormat="1"/>
    <xf numFmtId="172" fontId="0" fillId="5" borderId="8" xfId="0" applyNumberFormat="1" applyFill="1" applyBorder="1" applyAlignment="1">
      <alignment horizontal="center" vertical="center"/>
    </xf>
    <xf numFmtId="37" fontId="0" fillId="0" borderId="4" xfId="1" applyNumberFormat="1" applyFont="1" applyBorder="1" applyAlignment="1">
      <alignment horizontal="center"/>
    </xf>
    <xf numFmtId="168" fontId="0" fillId="0" borderId="0" xfId="0" applyNumberFormat="1"/>
    <xf numFmtId="7" fontId="0" fillId="0" borderId="4" xfId="0" applyNumberFormat="1" applyBorder="1"/>
    <xf numFmtId="168" fontId="0" fillId="0" borderId="4" xfId="0" applyNumberFormat="1" applyBorder="1"/>
    <xf numFmtId="0" fontId="0" fillId="0" borderId="4" xfId="0" applyBorder="1" applyAlignment="1">
      <alignment horizontal="center" vertical="center"/>
    </xf>
    <xf numFmtId="5" fontId="0" fillId="0" borderId="4" xfId="1" applyNumberFormat="1" applyFont="1" applyBorder="1" applyAlignment="1">
      <alignment horizontal="center"/>
    </xf>
    <xf numFmtId="7" fontId="0" fillId="0" borderId="4" xfId="0" applyNumberFormat="1" applyBorder="1" applyAlignment="1">
      <alignment horizontal="center"/>
    </xf>
    <xf numFmtId="5" fontId="0" fillId="0" borderId="4" xfId="0" applyNumberFormat="1" applyBorder="1" applyAlignment="1">
      <alignment horizontal="center"/>
    </xf>
    <xf numFmtId="7" fontId="0" fillId="0" borderId="0" xfId="0" applyNumberFormat="1" applyAlignment="1">
      <alignment horizontal="center"/>
    </xf>
    <xf numFmtId="5" fontId="0" fillId="0" borderId="0" xfId="0" applyNumberFormat="1" applyAlignment="1">
      <alignment horizontal="center"/>
    </xf>
    <xf numFmtId="9" fontId="0" fillId="0" borderId="10" xfId="0" applyNumberFormat="1" applyBorder="1"/>
    <xf numFmtId="0" fontId="0" fillId="4" borderId="24" xfId="6" applyFont="1" applyBorder="1"/>
    <xf numFmtId="169" fontId="0" fillId="0" borderId="4" xfId="0" applyNumberFormat="1" applyBorder="1"/>
    <xf numFmtId="9" fontId="0" fillId="0" borderId="11" xfId="0" applyNumberFormat="1" applyBorder="1"/>
    <xf numFmtId="9" fontId="0" fillId="0" borderId="4" xfId="0" applyNumberFormat="1" applyBorder="1"/>
    <xf numFmtId="169" fontId="0" fillId="0" borderId="0" xfId="0" applyNumberFormat="1"/>
    <xf numFmtId="0" fontId="0" fillId="0" borderId="20" xfId="0" applyBorder="1" applyAlignment="1">
      <alignment horizontal="centerContinuous"/>
    </xf>
    <xf numFmtId="0" fontId="0" fillId="0" borderId="21" xfId="0" applyBorder="1" applyAlignment="1">
      <alignment horizontal="centerContinuous"/>
    </xf>
    <xf numFmtId="0" fontId="0" fillId="0" borderId="22" xfId="0" applyBorder="1" applyAlignment="1">
      <alignment horizontal="centerContinuous"/>
    </xf>
    <xf numFmtId="167" fontId="0" fillId="0" borderId="4" xfId="0" applyNumberFormat="1" applyBorder="1" applyAlignment="1">
      <alignment horizontal="center"/>
    </xf>
    <xf numFmtId="167" fontId="0" fillId="0" borderId="4" xfId="0" applyNumberFormat="1" applyBorder="1"/>
    <xf numFmtId="43" fontId="0" fillId="0" borderId="0" xfId="0" applyNumberFormat="1"/>
    <xf numFmtId="165" fontId="0" fillId="0" borderId="4" xfId="3" applyNumberFormat="1" applyFont="1" applyBorder="1"/>
    <xf numFmtId="43" fontId="0" fillId="0" borderId="4" xfId="0" applyNumberFormat="1" applyBorder="1"/>
    <xf numFmtId="43" fontId="0" fillId="0" borderId="4" xfId="1" applyFont="1" applyBorder="1"/>
    <xf numFmtId="8" fontId="0" fillId="0" borderId="4" xfId="0" applyNumberFormat="1" applyBorder="1"/>
    <xf numFmtId="6" fontId="0" fillId="0" borderId="4" xfId="0" applyNumberFormat="1" applyBorder="1"/>
    <xf numFmtId="43" fontId="0" fillId="0" borderId="0" xfId="1" applyFont="1"/>
    <xf numFmtId="9" fontId="3" fillId="3" borderId="2" xfId="3" applyFont="1" applyFill="1" applyBorder="1"/>
    <xf numFmtId="165" fontId="0" fillId="5" borderId="13" xfId="3" applyNumberFormat="1" applyFont="1" applyFill="1" applyBorder="1"/>
    <xf numFmtId="164" fontId="0" fillId="5" borderId="13" xfId="0" applyNumberFormat="1" applyFill="1" applyBorder="1"/>
    <xf numFmtId="164" fontId="0" fillId="0" borderId="4" xfId="0" applyNumberFormat="1" applyBorder="1"/>
    <xf numFmtId="0" fontId="4" fillId="0" borderId="0" xfId="0" applyFont="1"/>
    <xf numFmtId="0" fontId="0" fillId="0" borderId="0" xfId="0" quotePrefix="1"/>
    <xf numFmtId="173" fontId="0" fillId="5" borderId="8" xfId="0" applyNumberFormat="1" applyFill="1" applyBorder="1"/>
    <xf numFmtId="0" fontId="4" fillId="0" borderId="4" xfId="0" applyFont="1" applyBorder="1" applyAlignment="1">
      <alignment horizontal="center"/>
    </xf>
    <xf numFmtId="165" fontId="5" fillId="0" borderId="0" xfId="3" applyNumberFormat="1" applyFont="1"/>
    <xf numFmtId="0" fontId="0" fillId="4" borderId="3" xfId="6" applyFont="1"/>
    <xf numFmtId="0" fontId="10" fillId="4" borderId="3" xfId="6" applyFont="1"/>
    <xf numFmtId="44" fontId="0" fillId="8" borderId="0" xfId="2" applyFont="1" applyFill="1"/>
    <xf numFmtId="9" fontId="0" fillId="8" borderId="0" xfId="3" applyFont="1" applyFill="1"/>
    <xf numFmtId="0" fontId="0" fillId="8" borderId="8" xfId="3" applyNumberFormat="1" applyFont="1" applyFill="1" applyBorder="1"/>
    <xf numFmtId="0" fontId="0" fillId="8" borderId="8" xfId="3" applyNumberFormat="1" applyFont="1" applyFill="1" applyBorder="1" applyAlignment="1">
      <alignment horizontal="left"/>
    </xf>
    <xf numFmtId="174" fontId="0" fillId="5" borderId="8" xfId="0" applyNumberFormat="1" applyFill="1" applyBorder="1" applyAlignment="1">
      <alignment horizontal="center"/>
    </xf>
    <xf numFmtId="0" fontId="11" fillId="0" borderId="8" xfId="0" applyFont="1" applyBorder="1" applyAlignment="1">
      <alignment vertical="center"/>
    </xf>
    <xf numFmtId="164" fontId="0" fillId="5" borderId="8" xfId="0" applyNumberFormat="1" applyFill="1" applyBorder="1" applyAlignment="1">
      <alignment horizontal="center"/>
    </xf>
    <xf numFmtId="6" fontId="11" fillId="0" borderId="8" xfId="0" applyNumberFormat="1" applyFont="1" applyBorder="1" applyAlignment="1">
      <alignment horizontal="center" vertical="center"/>
    </xf>
    <xf numFmtId="9" fontId="11" fillId="0" borderId="8" xfId="0" applyNumberFormat="1" applyFont="1" applyBorder="1" applyAlignment="1">
      <alignment horizontal="center" vertical="center"/>
    </xf>
    <xf numFmtId="0" fontId="11" fillId="0" borderId="8" xfId="0" applyFont="1" applyBorder="1" applyAlignment="1">
      <alignment horizontal="center" vertical="center"/>
    </xf>
    <xf numFmtId="0" fontId="11" fillId="9" borderId="8" xfId="0" applyFont="1" applyFill="1" applyBorder="1" applyAlignment="1">
      <alignment vertical="center"/>
    </xf>
    <xf numFmtId="0" fontId="12" fillId="0" borderId="20" xfId="0" quotePrefix="1" applyFont="1" applyBorder="1" applyAlignment="1">
      <alignment horizontal="centerContinuous"/>
    </xf>
    <xf numFmtId="0" fontId="12" fillId="0" borderId="21" xfId="0" applyFont="1" applyBorder="1" applyAlignment="1">
      <alignment horizontal="centerContinuous"/>
    </xf>
    <xf numFmtId="0" fontId="12" fillId="0" borderId="22" xfId="0" applyFont="1" applyBorder="1" applyAlignment="1">
      <alignment horizontal="centerContinuous"/>
    </xf>
    <xf numFmtId="2" fontId="0" fillId="0" borderId="0" xfId="0" applyNumberFormat="1" applyAlignment="1">
      <alignment horizontal="center"/>
    </xf>
    <xf numFmtId="172" fontId="0" fillId="0" borderId="0" xfId="0" applyNumberFormat="1" applyAlignment="1">
      <alignment horizontal="center"/>
    </xf>
    <xf numFmtId="6" fontId="0" fillId="0" borderId="8" xfId="0" applyNumberFormat="1" applyBorder="1" applyAlignment="1">
      <alignment horizontal="center" vertical="center"/>
    </xf>
    <xf numFmtId="0" fontId="0" fillId="0" borderId="8" xfId="0" applyBorder="1" applyAlignment="1">
      <alignment horizontal="center" vertical="center"/>
    </xf>
    <xf numFmtId="6" fontId="0" fillId="0" borderId="20" xfId="0" applyNumberFormat="1" applyBorder="1" applyAlignment="1">
      <alignment horizontal="center" vertical="center"/>
    </xf>
    <xf numFmtId="8" fontId="0" fillId="0" borderId="20" xfId="0" applyNumberFormat="1" applyBorder="1" applyAlignment="1">
      <alignment horizontal="center" vertical="center"/>
    </xf>
    <xf numFmtId="6" fontId="0" fillId="0" borderId="22" xfId="0" applyNumberFormat="1" applyBorder="1" applyAlignment="1">
      <alignment horizontal="center" vertical="center"/>
    </xf>
    <xf numFmtId="6" fontId="0" fillId="7" borderId="8" xfId="0" applyNumberFormat="1" applyFill="1" applyBorder="1" applyAlignment="1">
      <alignment horizontal="center" vertical="center"/>
    </xf>
    <xf numFmtId="0" fontId="0" fillId="0" borderId="19" xfId="0" applyBorder="1" applyAlignment="1">
      <alignment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0" xfId="0" applyAlignment="1">
      <alignment vertical="center"/>
    </xf>
    <xf numFmtId="0" fontId="0" fillId="0" borderId="20" xfId="0" applyBorder="1" applyAlignment="1">
      <alignment horizontal="center" vertical="center"/>
    </xf>
    <xf numFmtId="6" fontId="0" fillId="0" borderId="20" xfId="0" applyNumberFormat="1" applyBorder="1" applyAlignment="1">
      <alignment horizontal="center"/>
    </xf>
    <xf numFmtId="6" fontId="0" fillId="0" borderId="22" xfId="0" applyNumberFormat="1" applyBorder="1" applyAlignment="1">
      <alignment horizontal="center"/>
    </xf>
    <xf numFmtId="6" fontId="0" fillId="0" borderId="21" xfId="0" applyNumberFormat="1" applyBorder="1" applyAlignment="1">
      <alignment horizontal="center"/>
    </xf>
    <xf numFmtId="0" fontId="0" fillId="0" borderId="22" xfId="0" applyBorder="1"/>
    <xf numFmtId="8" fontId="0" fillId="0" borderId="11" xfId="0" applyNumberFormat="1" applyBorder="1" applyAlignment="1">
      <alignment horizontal="center"/>
    </xf>
    <xf numFmtId="8" fontId="0" fillId="7" borderId="11" xfId="0" applyNumberFormat="1" applyFill="1" applyBorder="1" applyAlignment="1">
      <alignment horizontal="center"/>
    </xf>
    <xf numFmtId="9" fontId="0" fillId="0" borderId="10" xfId="0" applyNumberFormat="1" applyBorder="1" applyAlignment="1">
      <alignment horizontal="center"/>
    </xf>
    <xf numFmtId="8" fontId="0" fillId="7" borderId="10" xfId="0" applyNumberFormat="1" applyFill="1" applyBorder="1" applyAlignment="1">
      <alignment horizontal="center"/>
    </xf>
    <xf numFmtId="165" fontId="0" fillId="5" borderId="8" xfId="3" applyNumberFormat="1" applyFont="1" applyFill="1" applyBorder="1" applyAlignment="1">
      <alignment horizontal="center"/>
    </xf>
    <xf numFmtId="8" fontId="13" fillId="0" borderId="0" xfId="0" applyNumberFormat="1" applyFont="1" applyAlignment="1">
      <alignment horizontal="right"/>
    </xf>
    <xf numFmtId="44" fontId="1" fillId="5" borderId="8" xfId="2" applyFont="1" applyFill="1" applyBorder="1"/>
    <xf numFmtId="0" fontId="13" fillId="0" borderId="0" xfId="0" applyFont="1"/>
    <xf numFmtId="8" fontId="14" fillId="0" borderId="0" xfId="0" applyNumberFormat="1" applyFont="1" applyAlignment="1">
      <alignment horizontal="right"/>
    </xf>
    <xf numFmtId="0" fontId="13" fillId="0" borderId="0" xfId="0" applyFont="1" applyAlignment="1">
      <alignment horizontal="right"/>
    </xf>
    <xf numFmtId="0" fontId="14" fillId="0" borderId="0" xfId="0" applyFont="1"/>
    <xf numFmtId="175" fontId="13" fillId="0" borderId="0" xfId="0" applyNumberFormat="1" applyFont="1" applyAlignment="1">
      <alignment horizontal="right"/>
    </xf>
    <xf numFmtId="164" fontId="0" fillId="0" borderId="4" xfId="0" applyNumberFormat="1" applyBorder="1" applyAlignment="1">
      <alignment horizontal="center"/>
    </xf>
    <xf numFmtId="0" fontId="0" fillId="0" borderId="4" xfId="0" applyBorder="1" applyAlignment="1">
      <alignment horizontal="left" indent="1"/>
    </xf>
    <xf numFmtId="0" fontId="0" fillId="0" borderId="0" xfId="0" applyAlignment="1">
      <alignment horizontal="left" indent="1"/>
    </xf>
    <xf numFmtId="164" fontId="0" fillId="10" borderId="32" xfId="0" applyNumberFormat="1" applyFill="1" applyBorder="1"/>
    <xf numFmtId="0" fontId="0" fillId="0" borderId="13" xfId="0" applyBorder="1" applyAlignment="1">
      <alignment horizontal="right"/>
    </xf>
    <xf numFmtId="7" fontId="0" fillId="0" borderId="8" xfId="0" applyNumberFormat="1" applyBorder="1"/>
    <xf numFmtId="0" fontId="0" fillId="0" borderId="15" xfId="0" applyBorder="1" applyAlignment="1">
      <alignment horizontal="right"/>
    </xf>
    <xf numFmtId="7" fontId="0" fillId="0" borderId="13" xfId="0" applyNumberFormat="1" applyBorder="1"/>
    <xf numFmtId="0" fontId="0" fillId="0" borderId="12" xfId="0" applyBorder="1" applyAlignment="1">
      <alignment horizontal="right"/>
    </xf>
    <xf numFmtId="0" fontId="0" fillId="0" borderId="16" xfId="0" applyBorder="1"/>
    <xf numFmtId="0" fontId="0" fillId="0" borderId="18" xfId="0" applyBorder="1"/>
    <xf numFmtId="0" fontId="0" fillId="0" borderId="19" xfId="0" applyBorder="1"/>
    <xf numFmtId="7" fontId="0" fillId="0" borderId="13" xfId="0" applyNumberFormat="1" applyBorder="1" applyAlignment="1">
      <alignment horizontal="center"/>
    </xf>
    <xf numFmtId="9" fontId="0" fillId="0" borderId="15" xfId="3" applyFont="1" applyBorder="1" applyAlignment="1">
      <alignment horizontal="center"/>
    </xf>
    <xf numFmtId="7" fontId="0" fillId="0" borderId="15" xfId="0" applyNumberFormat="1" applyBorder="1" applyAlignment="1">
      <alignment horizontal="center"/>
    </xf>
    <xf numFmtId="172" fontId="0" fillId="0" borderId="15" xfId="1" applyNumberFormat="1" applyFont="1" applyBorder="1" applyAlignment="1">
      <alignment horizontal="center"/>
    </xf>
    <xf numFmtId="172" fontId="0" fillId="0" borderId="15" xfId="0" applyNumberFormat="1" applyBorder="1" applyAlignment="1">
      <alignment horizontal="center"/>
    </xf>
    <xf numFmtId="7" fontId="0" fillId="0" borderId="17" xfId="0" applyNumberFormat="1" applyBorder="1" applyAlignment="1">
      <alignment horizontal="center"/>
    </xf>
    <xf numFmtId="0" fontId="0" fillId="0" borderId="17" xfId="0" applyBorder="1" applyAlignment="1">
      <alignment horizontal="right"/>
    </xf>
    <xf numFmtId="164" fontId="0" fillId="0" borderId="0" xfId="0" applyNumberFormat="1" applyAlignment="1">
      <alignment horizontal="right"/>
    </xf>
    <xf numFmtId="9" fontId="0" fillId="0" borderId="0" xfId="3" applyFont="1" applyAlignment="1">
      <alignment horizontal="right"/>
    </xf>
    <xf numFmtId="9" fontId="0" fillId="0" borderId="8" xfId="3" applyFont="1" applyBorder="1" applyAlignment="1">
      <alignment horizontal="center"/>
    </xf>
    <xf numFmtId="0" fontId="0" fillId="0" borderId="8" xfId="0" applyBorder="1" applyAlignment="1">
      <alignment horizontal="right"/>
    </xf>
    <xf numFmtId="0" fontId="0" fillId="0" borderId="8" xfId="0" applyBorder="1"/>
    <xf numFmtId="167" fontId="0" fillId="0" borderId="8" xfId="0" applyNumberFormat="1" applyBorder="1" applyAlignment="1">
      <alignment horizontal="center"/>
    </xf>
    <xf numFmtId="167" fontId="0" fillId="0" borderId="0" xfId="0" applyNumberFormat="1" applyAlignment="1">
      <alignment horizontal="right"/>
    </xf>
    <xf numFmtId="9" fontId="0" fillId="0" borderId="8" xfId="0" applyNumberFormat="1" applyBorder="1" applyAlignment="1">
      <alignment horizontal="center"/>
    </xf>
    <xf numFmtId="14" fontId="0" fillId="0" borderId="0" xfId="0" applyNumberFormat="1"/>
    <xf numFmtId="164" fontId="0" fillId="0" borderId="0" xfId="2" applyNumberFormat="1" applyFont="1"/>
    <xf numFmtId="167" fontId="0" fillId="0" borderId="0" xfId="2" applyNumberFormat="1" applyFont="1"/>
    <xf numFmtId="0" fontId="15" fillId="0" borderId="0" xfId="7"/>
    <xf numFmtId="3" fontId="0" fillId="9" borderId="33" xfId="1" applyNumberFormat="1" applyFont="1" applyFill="1" applyBorder="1" applyAlignment="1">
      <alignment horizontal="center"/>
    </xf>
    <xf numFmtId="3" fontId="0" fillId="9" borderId="34" xfId="1" applyNumberFormat="1" applyFont="1" applyFill="1" applyBorder="1" applyAlignment="1">
      <alignment horizontal="center"/>
    </xf>
    <xf numFmtId="3" fontId="0" fillId="9" borderId="35" xfId="1" applyNumberFormat="1" applyFont="1" applyFill="1" applyBorder="1" applyAlignment="1">
      <alignment horizontal="center"/>
    </xf>
    <xf numFmtId="9" fontId="0" fillId="9" borderId="36" xfId="0" applyNumberFormat="1" applyFill="1" applyBorder="1" applyAlignment="1">
      <alignment horizontal="center"/>
    </xf>
    <xf numFmtId="3" fontId="0" fillId="5" borderId="8" xfId="0" applyNumberFormat="1" applyFill="1" applyBorder="1" applyAlignment="1">
      <alignment horizontal="center"/>
    </xf>
    <xf numFmtId="3" fontId="0" fillId="9" borderId="37" xfId="0" applyNumberFormat="1" applyFill="1" applyBorder="1" applyAlignment="1">
      <alignment horizontal="center"/>
    </xf>
    <xf numFmtId="9" fontId="0" fillId="9" borderId="38" xfId="0" applyNumberFormat="1" applyFill="1" applyBorder="1" applyAlignment="1">
      <alignment horizontal="center"/>
    </xf>
    <xf numFmtId="3" fontId="0" fillId="9" borderId="39" xfId="0" applyNumberFormat="1" applyFill="1" applyBorder="1" applyAlignment="1">
      <alignment horizontal="center"/>
    </xf>
    <xf numFmtId="9" fontId="0" fillId="9" borderId="40" xfId="0" applyNumberFormat="1" applyFill="1" applyBorder="1" applyAlignment="1">
      <alignment horizontal="center"/>
    </xf>
    <xf numFmtId="3" fontId="0" fillId="9" borderId="41" xfId="0" applyNumberFormat="1" applyFill="1" applyBorder="1" applyAlignment="1">
      <alignment horizontal="center"/>
    </xf>
    <xf numFmtId="9" fontId="0" fillId="9" borderId="42" xfId="0" applyNumberFormat="1" applyFill="1" applyBorder="1" applyAlignment="1">
      <alignment horizontal="center"/>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43" xfId="0" applyFont="1" applyFill="1" applyBorder="1" applyAlignment="1">
      <alignment horizontal="center" vertical="center" wrapText="1"/>
    </xf>
    <xf numFmtId="0" fontId="16" fillId="0" borderId="0" xfId="0" applyFont="1"/>
    <xf numFmtId="0" fontId="17" fillId="0" borderId="0" xfId="0" applyFont="1"/>
    <xf numFmtId="0" fontId="18" fillId="0" borderId="0" xfId="0" applyFont="1"/>
    <xf numFmtId="0" fontId="0" fillId="0" borderId="0" xfId="0" applyAlignment="1">
      <alignment wrapText="1"/>
    </xf>
    <xf numFmtId="15" fontId="0" fillId="0" borderId="0" xfId="0" applyNumberFormat="1"/>
    <xf numFmtId="176" fontId="0" fillId="5" borderId="8" xfId="1" applyNumberFormat="1" applyFont="1" applyFill="1" applyBorder="1"/>
    <xf numFmtId="167" fontId="0" fillId="5" borderId="8" xfId="0" applyNumberFormat="1" applyFill="1" applyBorder="1"/>
    <xf numFmtId="165" fontId="0" fillId="5" borderId="20" xfId="3" applyNumberFormat="1" applyFont="1" applyFill="1" applyBorder="1"/>
    <xf numFmtId="165" fontId="0" fillId="0" borderId="8" xfId="3" applyNumberFormat="1" applyFont="1" applyBorder="1"/>
    <xf numFmtId="167" fontId="0" fillId="5" borderId="13" xfId="0" applyNumberFormat="1" applyFill="1" applyBorder="1"/>
    <xf numFmtId="167" fontId="0" fillId="0" borderId="8" xfId="0" applyNumberFormat="1" applyBorder="1"/>
    <xf numFmtId="9" fontId="0" fillId="0" borderId="8" xfId="3" applyFont="1" applyBorder="1"/>
    <xf numFmtId="176" fontId="0" fillId="0" borderId="0" xfId="1" applyNumberFormat="1" applyFont="1"/>
    <xf numFmtId="15" fontId="0" fillId="0" borderId="0" xfId="0" applyNumberFormat="1" applyAlignment="1">
      <alignment horizontal="center"/>
    </xf>
    <xf numFmtId="167" fontId="0" fillId="5" borderId="8" xfId="0" applyNumberFormat="1" applyFill="1" applyBorder="1" applyAlignment="1">
      <alignment horizontal="center"/>
    </xf>
    <xf numFmtId="168" fontId="0" fillId="0" borderId="0" xfId="1" applyNumberFormat="1" applyFont="1" applyAlignment="1">
      <alignment horizontal="center"/>
    </xf>
    <xf numFmtId="168" fontId="0" fillId="0" borderId="4" xfId="1" applyNumberFormat="1" applyFont="1" applyBorder="1" applyAlignment="1">
      <alignment horizontal="center"/>
    </xf>
    <xf numFmtId="0" fontId="0" fillId="0" borderId="4" xfId="0" applyBorder="1" applyAlignment="1">
      <alignment horizontal="centerContinuous"/>
    </xf>
    <xf numFmtId="165" fontId="0" fillId="0" borderId="0" xfId="1" applyNumberFormat="1" applyFont="1"/>
    <xf numFmtId="0" fontId="0" fillId="0" borderId="12" xfId="0" applyBorder="1"/>
    <xf numFmtId="8" fontId="0" fillId="0" borderId="13" xfId="0" applyNumberFormat="1" applyBorder="1"/>
    <xf numFmtId="8" fontId="0" fillId="0" borderId="15" xfId="0" applyNumberFormat="1" applyBorder="1"/>
    <xf numFmtId="8" fontId="0" fillId="0" borderId="17" xfId="0" applyNumberFormat="1" applyBorder="1"/>
    <xf numFmtId="0" fontId="0" fillId="0" borderId="0" xfId="0" applyAlignment="1">
      <alignment horizontal="centerContinuous"/>
    </xf>
    <xf numFmtId="10" fontId="0" fillId="0" borderId="13" xfId="3" applyNumberFormat="1" applyFont="1" applyBorder="1"/>
    <xf numFmtId="0" fontId="0" fillId="0" borderId="15" xfId="0" quotePrefix="1" applyBorder="1"/>
    <xf numFmtId="10" fontId="0" fillId="0" borderId="15" xfId="3" applyNumberFormat="1" applyFont="1" applyBorder="1"/>
    <xf numFmtId="6" fontId="0" fillId="0" borderId="15" xfId="0" applyNumberFormat="1" applyBorder="1"/>
    <xf numFmtId="176" fontId="0" fillId="0" borderId="15" xfId="1" applyNumberFormat="1" applyFont="1" applyBorder="1"/>
    <xf numFmtId="168" fontId="0" fillId="0" borderId="15" xfId="0" applyNumberFormat="1" applyBorder="1"/>
    <xf numFmtId="3" fontId="0" fillId="0" borderId="17" xfId="0" applyNumberFormat="1" applyBorder="1"/>
    <xf numFmtId="0" fontId="0" fillId="0" borderId="21" xfId="0" applyBorder="1"/>
    <xf numFmtId="10" fontId="0" fillId="0" borderId="13" xfId="0" applyNumberFormat="1" applyBorder="1"/>
    <xf numFmtId="167" fontId="0" fillId="0" borderId="15" xfId="0" applyNumberFormat="1" applyBorder="1"/>
    <xf numFmtId="167" fontId="0" fillId="0" borderId="17" xfId="0" applyNumberFormat="1" applyBorder="1"/>
    <xf numFmtId="0" fontId="0" fillId="0" borderId="8" xfId="0" applyBorder="1" applyAlignment="1">
      <alignment horizontal="centerContinuous"/>
    </xf>
    <xf numFmtId="6" fontId="0" fillId="0" borderId="12" xfId="0" applyNumberFormat="1" applyBorder="1"/>
    <xf numFmtId="6" fontId="0" fillId="0" borderId="13" xfId="0" applyNumberFormat="1" applyBorder="1"/>
    <xf numFmtId="0" fontId="0" fillId="0" borderId="11" xfId="0" applyBorder="1" applyAlignment="1">
      <alignment horizontal="left" indent="1"/>
    </xf>
    <xf numFmtId="0" fontId="0" fillId="0" borderId="10" xfId="0" applyBorder="1" applyAlignment="1">
      <alignment horizontal="left" indent="1"/>
    </xf>
    <xf numFmtId="6" fontId="0" fillId="0" borderId="14" xfId="0" applyNumberFormat="1" applyBorder="1"/>
    <xf numFmtId="6" fontId="0" fillId="0" borderId="17" xfId="0" applyNumberFormat="1" applyBorder="1"/>
    <xf numFmtId="15" fontId="0" fillId="0" borderId="4" xfId="0" applyNumberFormat="1" applyBorder="1" applyAlignment="1">
      <alignment horizontal="center"/>
    </xf>
    <xf numFmtId="9" fontId="0" fillId="5" borderId="8" xfId="3" applyFont="1" applyFill="1" applyBorder="1"/>
    <xf numFmtId="44" fontId="0" fillId="0" borderId="0" xfId="0" applyNumberFormat="1"/>
    <xf numFmtId="172" fontId="0" fillId="5" borderId="8" xfId="0" applyNumberFormat="1" applyFill="1" applyBorder="1" applyAlignment="1">
      <alignment horizontal="center"/>
    </xf>
    <xf numFmtId="177" fontId="0" fillId="0" borderId="0" xfId="1" applyNumberFormat="1" applyFont="1" applyAlignment="1">
      <alignment horizontal="center"/>
    </xf>
    <xf numFmtId="10" fontId="0" fillId="0" borderId="4" xfId="0" applyNumberFormat="1" applyBorder="1" applyAlignment="1">
      <alignment horizontal="center"/>
    </xf>
    <xf numFmtId="10" fontId="0" fillId="0" borderId="0" xfId="0" applyNumberFormat="1" applyAlignment="1">
      <alignment horizontal="center"/>
    </xf>
    <xf numFmtId="172" fontId="0" fillId="0" borderId="4" xfId="0" applyNumberFormat="1" applyBorder="1" applyAlignment="1">
      <alignment horizontal="center"/>
    </xf>
    <xf numFmtId="0" fontId="7" fillId="0" borderId="0" xfId="0" applyFont="1" applyAlignment="1">
      <alignment horizontal="center"/>
    </xf>
    <xf numFmtId="178" fontId="0" fillId="0" borderId="0" xfId="0" applyNumberFormat="1"/>
    <xf numFmtId="0" fontId="0" fillId="0" borderId="21" xfId="0" applyBorder="1" applyAlignment="1">
      <alignment wrapText="1"/>
    </xf>
    <xf numFmtId="0" fontId="0" fillId="0" borderId="17" xfId="0" applyBorder="1" applyAlignment="1">
      <alignment wrapText="1"/>
    </xf>
    <xf numFmtId="0" fontId="0" fillId="0" borderId="8" xfId="0" applyBorder="1" applyAlignment="1">
      <alignment wrapText="1"/>
    </xf>
    <xf numFmtId="8" fontId="0" fillId="0" borderId="13" xfId="0" applyNumberFormat="1" applyBorder="1" applyAlignment="1">
      <alignment horizontal="right"/>
    </xf>
    <xf numFmtId="8" fontId="0" fillId="0" borderId="15" xfId="0" applyNumberFormat="1" applyBorder="1" applyAlignment="1">
      <alignment horizontal="right"/>
    </xf>
    <xf numFmtId="8" fontId="0" fillId="0" borderId="17" xfId="0" applyNumberFormat="1" applyBorder="1" applyAlignment="1">
      <alignment horizontal="right"/>
    </xf>
    <xf numFmtId="171" fontId="0" fillId="0" borderId="0" xfId="0" applyNumberFormat="1"/>
    <xf numFmtId="179" fontId="0" fillId="0" borderId="0" xfId="0" applyNumberFormat="1"/>
    <xf numFmtId="172" fontId="0" fillId="0" borderId="18" xfId="0" applyNumberFormat="1" applyBorder="1" applyAlignment="1">
      <alignment horizontal="center"/>
    </xf>
    <xf numFmtId="164" fontId="0" fillId="0" borderId="18" xfId="0" applyNumberFormat="1" applyBorder="1" applyAlignment="1">
      <alignment horizontal="center"/>
    </xf>
    <xf numFmtId="0" fontId="0" fillId="0" borderId="4" xfId="0" applyBorder="1" applyAlignment="1">
      <alignment horizontal="right"/>
    </xf>
    <xf numFmtId="0" fontId="19" fillId="0" borderId="44" xfId="0" applyFont="1" applyBorder="1" applyAlignment="1">
      <alignment horizontal="center" vertical="center"/>
    </xf>
    <xf numFmtId="0" fontId="19" fillId="0" borderId="45" xfId="0" applyFont="1" applyBorder="1" applyAlignment="1">
      <alignment horizontal="center" vertical="center"/>
    </xf>
    <xf numFmtId="0" fontId="19" fillId="0" borderId="45" xfId="0" applyFont="1" applyBorder="1" applyAlignment="1">
      <alignment horizontal="center" vertical="center" wrapText="1"/>
    </xf>
    <xf numFmtId="0" fontId="19" fillId="0" borderId="46" xfId="0" applyFont="1" applyBorder="1" applyAlignment="1">
      <alignment horizontal="center" vertical="center" wrapText="1"/>
    </xf>
    <xf numFmtId="6" fontId="19" fillId="0" borderId="44" xfId="0" applyNumberFormat="1" applyFont="1" applyBorder="1" applyAlignment="1">
      <alignment horizontal="center" vertical="center"/>
    </xf>
    <xf numFmtId="167" fontId="19" fillId="0" borderId="45" xfId="0" applyNumberFormat="1" applyFont="1" applyBorder="1" applyAlignment="1">
      <alignment horizontal="center" vertical="center"/>
    </xf>
    <xf numFmtId="6" fontId="19" fillId="0" borderId="47" xfId="0" applyNumberFormat="1" applyFont="1" applyBorder="1" applyAlignment="1">
      <alignment horizontal="center" vertical="center"/>
    </xf>
    <xf numFmtId="167" fontId="19" fillId="0" borderId="33" xfId="0" applyNumberFormat="1" applyFont="1" applyBorder="1" applyAlignment="1">
      <alignment horizontal="center" vertical="center"/>
    </xf>
    <xf numFmtId="0" fontId="19" fillId="0" borderId="33" xfId="0" applyFont="1" applyBorder="1" applyAlignment="1">
      <alignment horizontal="center" vertical="center" wrapText="1"/>
    </xf>
    <xf numFmtId="0" fontId="19" fillId="0" borderId="33" xfId="0" applyFont="1" applyBorder="1" applyAlignment="1">
      <alignment horizontal="center" vertical="center"/>
    </xf>
    <xf numFmtId="0" fontId="19" fillId="0" borderId="36" xfId="0" applyFont="1" applyBorder="1" applyAlignment="1">
      <alignment horizontal="center" vertical="center" wrapText="1"/>
    </xf>
    <xf numFmtId="0" fontId="19" fillId="0" borderId="47" xfId="0" applyFont="1" applyBorder="1" applyAlignment="1">
      <alignment horizontal="center" vertical="center"/>
    </xf>
    <xf numFmtId="0" fontId="20" fillId="0" borderId="44"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46" xfId="0" applyFont="1" applyBorder="1" applyAlignment="1">
      <alignment horizontal="center" vertical="center" wrapText="1"/>
    </xf>
    <xf numFmtId="6" fontId="19" fillId="0" borderId="33" xfId="0" applyNumberFormat="1" applyFont="1" applyBorder="1" applyAlignment="1">
      <alignment horizontal="center" vertical="center" wrapText="1"/>
    </xf>
    <xf numFmtId="6" fontId="19" fillId="0" borderId="33" xfId="0" applyNumberFormat="1" applyFont="1" applyBorder="1" applyAlignment="1">
      <alignment horizontal="center" vertical="center"/>
    </xf>
    <xf numFmtId="6" fontId="19" fillId="0" borderId="36" xfId="0" applyNumberFormat="1" applyFont="1" applyBorder="1" applyAlignment="1">
      <alignment horizontal="center" vertical="center" wrapText="1"/>
    </xf>
    <xf numFmtId="165" fontId="21" fillId="0" borderId="8" xfId="0" applyNumberFormat="1" applyFont="1" applyBorder="1" applyAlignment="1">
      <alignment horizontal="center" vertical="center"/>
    </xf>
    <xf numFmtId="0" fontId="21" fillId="0" borderId="8" xfId="0" applyFont="1" applyBorder="1" applyAlignment="1">
      <alignment horizontal="center" vertical="center"/>
    </xf>
    <xf numFmtId="0" fontId="21" fillId="0" borderId="8" xfId="0" applyFont="1" applyBorder="1" applyAlignment="1">
      <alignment vertical="center"/>
    </xf>
    <xf numFmtId="165" fontId="0" fillId="0" borderId="0" xfId="3" applyNumberFormat="1" applyFont="1" applyAlignment="1">
      <alignment horizontal="right"/>
    </xf>
    <xf numFmtId="0" fontId="19" fillId="0" borderId="0" xfId="0" applyFont="1" applyAlignment="1">
      <alignment horizontal="center" vertical="center" wrapText="1"/>
    </xf>
    <xf numFmtId="167" fontId="0" fillId="0" borderId="14" xfId="0" applyNumberFormat="1" applyBorder="1" applyAlignment="1">
      <alignment horizontal="center"/>
    </xf>
    <xf numFmtId="167" fontId="0" fillId="0" borderId="10" xfId="0" applyNumberFormat="1" applyBorder="1" applyAlignment="1">
      <alignment horizontal="center"/>
    </xf>
    <xf numFmtId="167" fontId="0" fillId="12" borderId="0" xfId="0" applyNumberFormat="1" applyFill="1" applyAlignment="1">
      <alignment horizontal="center"/>
    </xf>
    <xf numFmtId="167" fontId="0" fillId="0" borderId="16" xfId="0" applyNumberFormat="1" applyBorder="1" applyAlignment="1">
      <alignment horizontal="center"/>
    </xf>
    <xf numFmtId="164" fontId="0" fillId="0" borderId="4" xfId="1" applyNumberFormat="1" applyFont="1" applyBorder="1"/>
    <xf numFmtId="164" fontId="0" fillId="0" borderId="0" xfId="1" applyNumberFormat="1" applyFont="1"/>
    <xf numFmtId="4" fontId="0" fillId="0" borderId="4" xfId="1" applyNumberFormat="1" applyFont="1" applyBorder="1"/>
    <xf numFmtId="4" fontId="0" fillId="0" borderId="4" xfId="0" applyNumberFormat="1" applyBorder="1"/>
    <xf numFmtId="4" fontId="0" fillId="0" borderId="0" xfId="1" applyNumberFormat="1" applyFont="1"/>
    <xf numFmtId="4" fontId="0" fillId="0" borderId="0" xfId="0" applyNumberFormat="1"/>
    <xf numFmtId="0" fontId="0" fillId="5" borderId="8" xfId="0" applyFill="1" applyBorder="1" applyAlignment="1">
      <alignment horizontal="center"/>
    </xf>
    <xf numFmtId="0" fontId="4" fillId="0" borderId="7" xfId="0" applyFont="1" applyBorder="1" applyAlignment="1">
      <alignment horizontal="center"/>
    </xf>
    <xf numFmtId="0" fontId="4" fillId="0" borderId="6" xfId="0" applyFont="1" applyBorder="1" applyAlignment="1">
      <alignment horizontal="center"/>
    </xf>
    <xf numFmtId="0" fontId="4" fillId="0" borderId="5" xfId="0" applyFont="1" applyBorder="1" applyAlignment="1">
      <alignment horizontal="center"/>
    </xf>
    <xf numFmtId="0" fontId="5" fillId="0" borderId="0" xfId="0" applyFont="1" applyAlignment="1">
      <alignment horizontal="center"/>
    </xf>
    <xf numFmtId="0" fontId="5" fillId="0" borderId="10" xfId="0" applyFont="1" applyBorder="1" applyAlignment="1">
      <alignment horizont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4" fillId="6" borderId="22" xfId="0" applyFont="1" applyFill="1" applyBorder="1" applyAlignment="1">
      <alignment horizontal="center"/>
    </xf>
    <xf numFmtId="0" fontId="4" fillId="6" borderId="21" xfId="0" applyFont="1" applyFill="1" applyBorder="1" applyAlignment="1">
      <alignment horizontal="center"/>
    </xf>
    <xf numFmtId="0" fontId="4" fillId="6" borderId="20" xfId="0" applyFont="1" applyFill="1" applyBorder="1" applyAlignment="1">
      <alignment horizontal="center"/>
    </xf>
    <xf numFmtId="0" fontId="0" fillId="0" borderId="19" xfId="0" applyBorder="1" applyAlignment="1">
      <alignment horizontal="center" vertical="center" wrapText="1"/>
    </xf>
    <xf numFmtId="0" fontId="0" fillId="0" borderId="8" xfId="0" applyBorder="1" applyAlignment="1">
      <alignment horizontal="center"/>
    </xf>
    <xf numFmtId="0" fontId="0" fillId="0" borderId="20" xfId="0" applyBorder="1" applyAlignment="1">
      <alignment horizontal="center"/>
    </xf>
    <xf numFmtId="0" fontId="0" fillId="0" borderId="20"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4" xfId="0" applyBorder="1" applyAlignment="1">
      <alignment horizontal="center" wrapText="1"/>
    </xf>
    <xf numFmtId="0" fontId="0" fillId="0" borderId="22" xfId="0" applyBorder="1" applyAlignment="1">
      <alignment horizontal="center"/>
    </xf>
    <xf numFmtId="0" fontId="0" fillId="0" borderId="4" xfId="0" applyBorder="1" applyAlignment="1">
      <alignment horizontal="center"/>
    </xf>
    <xf numFmtId="0" fontId="0" fillId="0" borderId="12" xfId="0" applyBorder="1" applyAlignment="1">
      <alignment horizontal="center"/>
    </xf>
    <xf numFmtId="0" fontId="10" fillId="0" borderId="4" xfId="0" applyFont="1" applyBorder="1" applyAlignment="1">
      <alignment horizontal="center"/>
    </xf>
    <xf numFmtId="0" fontId="4" fillId="0" borderId="8" xfId="0" applyFont="1" applyBorder="1" applyAlignment="1">
      <alignment horizontal="center"/>
    </xf>
    <xf numFmtId="0" fontId="0" fillId="4" borderId="31" xfId="6" applyFont="1" applyBorder="1" applyAlignment="1">
      <alignment horizontal="left" vertical="top" wrapText="1"/>
    </xf>
    <xf numFmtId="0" fontId="0" fillId="4" borderId="30" xfId="6" applyFont="1" applyBorder="1" applyAlignment="1">
      <alignment horizontal="left" vertical="top" wrapText="1"/>
    </xf>
    <xf numFmtId="0" fontId="0" fillId="4" borderId="29" xfId="6" applyFont="1" applyBorder="1" applyAlignment="1">
      <alignment horizontal="left" vertical="top" wrapText="1"/>
    </xf>
    <xf numFmtId="0" fontId="0" fillId="4" borderId="28" xfId="6" applyFont="1" applyBorder="1" applyAlignment="1">
      <alignment horizontal="left" vertical="top" wrapText="1"/>
    </xf>
    <xf numFmtId="0" fontId="0" fillId="4" borderId="0" xfId="6" applyFont="1" applyBorder="1" applyAlignment="1">
      <alignment horizontal="left" vertical="top" wrapText="1"/>
    </xf>
    <xf numFmtId="0" fontId="0" fillId="4" borderId="27" xfId="6" applyFont="1" applyBorder="1" applyAlignment="1">
      <alignment horizontal="left" vertical="top" wrapText="1"/>
    </xf>
    <xf numFmtId="0" fontId="0" fillId="4" borderId="24" xfId="6" applyFont="1" applyBorder="1" applyAlignment="1">
      <alignment horizontal="left" vertical="top" wrapText="1"/>
    </xf>
    <xf numFmtId="0" fontId="0" fillId="4" borderId="26" xfId="6" applyFont="1" applyBorder="1" applyAlignment="1">
      <alignment horizontal="left" vertical="top" wrapText="1"/>
    </xf>
    <xf numFmtId="0" fontId="0" fillId="4" borderId="25" xfId="6" applyFont="1" applyBorder="1" applyAlignment="1">
      <alignment horizontal="left" vertical="top" wrapText="1"/>
    </xf>
    <xf numFmtId="0" fontId="0" fillId="0" borderId="21" xfId="0" applyBorder="1" applyAlignment="1">
      <alignment horizont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15" xfId="0" applyBorder="1" applyAlignment="1">
      <alignment horizontal="center"/>
    </xf>
    <xf numFmtId="0" fontId="4" fillId="0" borderId="22" xfId="0" applyFont="1" applyBorder="1" applyAlignment="1">
      <alignment horizontal="center"/>
    </xf>
    <xf numFmtId="0" fontId="4" fillId="0" borderId="21" xfId="0" applyFont="1" applyBorder="1" applyAlignment="1">
      <alignment horizontal="center"/>
    </xf>
    <xf numFmtId="0" fontId="4" fillId="0" borderId="20" xfId="0" applyFont="1" applyBorder="1" applyAlignment="1">
      <alignment horizontal="center"/>
    </xf>
    <xf numFmtId="0" fontId="4" fillId="9" borderId="7" xfId="0" applyFont="1" applyFill="1" applyBorder="1" applyAlignment="1">
      <alignment horizontal="center"/>
    </xf>
    <xf numFmtId="0" fontId="4" fillId="9" borderId="6" xfId="0" applyFont="1" applyFill="1" applyBorder="1" applyAlignment="1">
      <alignment horizontal="center"/>
    </xf>
    <xf numFmtId="0" fontId="4" fillId="9" borderId="5" xfId="0" applyFont="1" applyFill="1" applyBorder="1" applyAlignment="1">
      <alignment horizontal="center"/>
    </xf>
    <xf numFmtId="0" fontId="0" fillId="0" borderId="0" xfId="0" applyAlignment="1">
      <alignment horizontal="left" wrapText="1"/>
    </xf>
    <xf numFmtId="0" fontId="0" fillId="0" borderId="8" xfId="0" applyBorder="1" applyAlignment="1">
      <alignment horizontal="center" vertical="center"/>
    </xf>
    <xf numFmtId="0" fontId="0" fillId="0" borderId="19" xfId="0" applyBorder="1" applyAlignment="1">
      <alignment horizontal="left" wrapText="1"/>
    </xf>
    <xf numFmtId="0" fontId="0" fillId="0" borderId="18" xfId="0" applyBorder="1" applyAlignment="1">
      <alignment horizontal="left" wrapText="1"/>
    </xf>
    <xf numFmtId="0" fontId="0" fillId="0" borderId="16" xfId="0" applyBorder="1" applyAlignment="1">
      <alignment horizontal="left" wrapText="1"/>
    </xf>
    <xf numFmtId="0" fontId="0" fillId="0" borderId="11" xfId="0" applyBorder="1" applyAlignment="1">
      <alignment horizontal="left" wrapText="1"/>
    </xf>
    <xf numFmtId="0" fontId="0" fillId="0" borderId="4" xfId="0" applyBorder="1" applyAlignment="1">
      <alignment horizontal="left" wrapText="1"/>
    </xf>
    <xf numFmtId="0" fontId="0" fillId="0" borderId="12" xfId="0" applyBorder="1" applyAlignment="1">
      <alignment horizontal="left" wrapText="1"/>
    </xf>
    <xf numFmtId="167" fontId="0" fillId="0" borderId="0" xfId="0" applyNumberFormat="1" applyAlignment="1">
      <alignment horizontal="center"/>
    </xf>
    <xf numFmtId="0" fontId="20" fillId="11" borderId="50" xfId="0" applyFont="1" applyFill="1" applyBorder="1" applyAlignment="1">
      <alignment horizontal="center" vertical="center" wrapText="1"/>
    </xf>
    <xf numFmtId="0" fontId="20" fillId="11" borderId="49" xfId="0" applyFont="1" applyFill="1" applyBorder="1" applyAlignment="1">
      <alignment horizontal="center" vertical="center" wrapText="1"/>
    </xf>
    <xf numFmtId="0" fontId="20" fillId="11" borderId="48" xfId="0" applyFont="1" applyFill="1" applyBorder="1" applyAlignment="1">
      <alignment horizontal="center" vertical="center" wrapText="1"/>
    </xf>
    <xf numFmtId="0" fontId="0" fillId="0" borderId="10" xfId="0" applyBorder="1" applyAlignment="1">
      <alignment horizontal="center"/>
    </xf>
    <xf numFmtId="0" fontId="0" fillId="0" borderId="14" xfId="0" applyBorder="1" applyAlignment="1">
      <alignment horizontal="center"/>
    </xf>
    <xf numFmtId="0" fontId="22" fillId="0" borderId="0" xfId="0" applyFont="1" applyAlignment="1">
      <alignment horizontal="center"/>
    </xf>
    <xf numFmtId="0" fontId="23" fillId="0" borderId="0" xfId="0" applyFont="1"/>
    <xf numFmtId="0" fontId="24" fillId="0" borderId="0" xfId="0" applyFont="1" applyAlignment="1">
      <alignment horizontal="center"/>
    </xf>
    <xf numFmtId="0" fontId="0" fillId="0" borderId="0" xfId="0" applyAlignment="1">
      <alignment horizontal="right" vertical="top" indent="1"/>
    </xf>
    <xf numFmtId="0" fontId="25" fillId="0" borderId="0" xfId="0" applyFont="1" applyAlignment="1">
      <alignment horizontal="left" wrapText="1"/>
    </xf>
    <xf numFmtId="0" fontId="25" fillId="0" borderId="0" xfId="0" applyFont="1"/>
    <xf numFmtId="0" fontId="26" fillId="0" borderId="0" xfId="0" applyFont="1" applyAlignment="1">
      <alignment horizontal="left"/>
    </xf>
    <xf numFmtId="0" fontId="26" fillId="0" borderId="0" xfId="0" applyFont="1" applyAlignment="1">
      <alignment horizontal="center"/>
    </xf>
    <xf numFmtId="0" fontId="26" fillId="0" borderId="0" xfId="0" applyFont="1" applyAlignment="1">
      <alignment horizontal="right"/>
    </xf>
  </cellXfs>
  <cellStyles count="8">
    <cellStyle name="Calculation" xfId="4" builtinId="22"/>
    <cellStyle name="Check Cell" xfId="5" builtinId="23"/>
    <cellStyle name="Comma" xfId="1" builtinId="3"/>
    <cellStyle name="Currency" xfId="2" builtinId="4"/>
    <cellStyle name="Hyperlink" xfId="7" builtinId="8"/>
    <cellStyle name="Normal" xfId="0" builtinId="0"/>
    <cellStyle name="Note" xfId="6" builtinId="1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alcChain" Target="calcChain.xml"/><Relationship Id="rId10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eetMetadata" Target="metadata.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Simulated Claim</a:t>
            </a:r>
            <a:r>
              <a:rPr lang="en-US" baseline="0"/>
              <a:t> Distribution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1"/>
          <c:tx>
            <c:strRef>
              <c:f>'LO3 Q13'!$C$15</c:f>
              <c:strCache>
                <c:ptCount val="1"/>
                <c:pt idx="0">
                  <c:v>Base</c:v>
                </c:pt>
              </c:strCache>
            </c:strRef>
          </c:tx>
          <c:spPr>
            <a:solidFill>
              <a:schemeClr val="accent4"/>
            </a:solidFill>
            <a:ln>
              <a:noFill/>
            </a:ln>
            <a:effectLst/>
          </c:spPr>
          <c:invertIfNegative val="0"/>
          <c:cat>
            <c:numRef>
              <c:f>'LO3 Q13'!$B$16:$B$28</c:f>
              <c:numCache>
                <c:formatCode>0%</c:formatCode>
                <c:ptCount val="13"/>
                <c:pt idx="0">
                  <c:v>0</c:v>
                </c:pt>
                <c:pt idx="1">
                  <c:v>0.25</c:v>
                </c:pt>
                <c:pt idx="2">
                  <c:v>0.5</c:v>
                </c:pt>
                <c:pt idx="3">
                  <c:v>0.75</c:v>
                </c:pt>
                <c:pt idx="4">
                  <c:v>1</c:v>
                </c:pt>
                <c:pt idx="5">
                  <c:v>1.25</c:v>
                </c:pt>
                <c:pt idx="6">
                  <c:v>1.5</c:v>
                </c:pt>
                <c:pt idx="7">
                  <c:v>1.75</c:v>
                </c:pt>
                <c:pt idx="8">
                  <c:v>2</c:v>
                </c:pt>
                <c:pt idx="9">
                  <c:v>2.25</c:v>
                </c:pt>
                <c:pt idx="10">
                  <c:v>2.5</c:v>
                </c:pt>
                <c:pt idx="11">
                  <c:v>2.75</c:v>
                </c:pt>
                <c:pt idx="12">
                  <c:v>3</c:v>
                </c:pt>
              </c:numCache>
            </c:numRef>
          </c:cat>
          <c:val>
            <c:numRef>
              <c:f>'LO3 Q13'!$C$16:$C$28</c:f>
              <c:numCache>
                <c:formatCode>#,##0</c:formatCode>
                <c:ptCount val="13"/>
                <c:pt idx="0">
                  <c:v>0</c:v>
                </c:pt>
                <c:pt idx="1">
                  <c:v>13</c:v>
                </c:pt>
                <c:pt idx="2">
                  <c:v>160</c:v>
                </c:pt>
                <c:pt idx="3">
                  <c:v>310</c:v>
                </c:pt>
                <c:pt idx="4">
                  <c:v>225</c:v>
                </c:pt>
                <c:pt idx="5">
                  <c:v>120</c:v>
                </c:pt>
                <c:pt idx="6">
                  <c:v>70</c:v>
                </c:pt>
                <c:pt idx="7">
                  <c:v>45</c:v>
                </c:pt>
                <c:pt idx="8">
                  <c:v>20</c:v>
                </c:pt>
                <c:pt idx="9">
                  <c:v>20</c:v>
                </c:pt>
                <c:pt idx="10">
                  <c:v>12</c:v>
                </c:pt>
                <c:pt idx="11">
                  <c:v>5</c:v>
                </c:pt>
                <c:pt idx="12">
                  <c:v>0</c:v>
                </c:pt>
              </c:numCache>
            </c:numRef>
          </c:val>
          <c:extLst>
            <c:ext xmlns:c16="http://schemas.microsoft.com/office/drawing/2014/chart" uri="{C3380CC4-5D6E-409C-BE32-E72D297353CC}">
              <c16:uniqueId val="{00000000-F9BC-4641-B091-8B3660CB9AC4}"/>
            </c:ext>
          </c:extLst>
        </c:ser>
        <c:ser>
          <c:idx val="3"/>
          <c:order val="2"/>
          <c:tx>
            <c:strRef>
              <c:f>'LO3 Q13'!$D$15</c:f>
              <c:strCache>
                <c:ptCount val="1"/>
                <c:pt idx="0">
                  <c:v>Specific Stop Loss</c:v>
                </c:pt>
              </c:strCache>
            </c:strRef>
          </c:tx>
          <c:spPr>
            <a:solidFill>
              <a:schemeClr val="accent6">
                <a:lumMod val="60000"/>
              </a:schemeClr>
            </a:solidFill>
            <a:ln>
              <a:noFill/>
            </a:ln>
            <a:effectLst/>
          </c:spPr>
          <c:invertIfNegative val="0"/>
          <c:cat>
            <c:numRef>
              <c:f>'LO3 Q13'!$B$16:$B$28</c:f>
              <c:numCache>
                <c:formatCode>0%</c:formatCode>
                <c:ptCount val="13"/>
                <c:pt idx="0">
                  <c:v>0</c:v>
                </c:pt>
                <c:pt idx="1">
                  <c:v>0.25</c:v>
                </c:pt>
                <c:pt idx="2">
                  <c:v>0.5</c:v>
                </c:pt>
                <c:pt idx="3">
                  <c:v>0.75</c:v>
                </c:pt>
                <c:pt idx="4">
                  <c:v>1</c:v>
                </c:pt>
                <c:pt idx="5">
                  <c:v>1.25</c:v>
                </c:pt>
                <c:pt idx="6">
                  <c:v>1.5</c:v>
                </c:pt>
                <c:pt idx="7">
                  <c:v>1.75</c:v>
                </c:pt>
                <c:pt idx="8">
                  <c:v>2</c:v>
                </c:pt>
                <c:pt idx="9">
                  <c:v>2.25</c:v>
                </c:pt>
                <c:pt idx="10">
                  <c:v>2.5</c:v>
                </c:pt>
                <c:pt idx="11">
                  <c:v>2.75</c:v>
                </c:pt>
                <c:pt idx="12">
                  <c:v>3</c:v>
                </c:pt>
              </c:numCache>
            </c:numRef>
          </c:cat>
          <c:val>
            <c:numRef>
              <c:f>'LO3 Q13'!$D$16:$D$28</c:f>
              <c:numCache>
                <c:formatCode>#,##0</c:formatCode>
                <c:ptCount val="13"/>
              </c:numCache>
            </c:numRef>
          </c:val>
          <c:extLst>
            <c:ext xmlns:c16="http://schemas.microsoft.com/office/drawing/2014/chart" uri="{C3380CC4-5D6E-409C-BE32-E72D297353CC}">
              <c16:uniqueId val="{00000001-F9BC-4641-B091-8B3660CB9AC4}"/>
            </c:ext>
          </c:extLst>
        </c:ser>
        <c:ser>
          <c:idx val="0"/>
          <c:order val="3"/>
          <c:tx>
            <c:strRef>
              <c:f>'LO3 Q13'!$E$15</c:f>
              <c:strCache>
                <c:ptCount val="1"/>
                <c:pt idx="0">
                  <c:v>Aggregate Stop Loss</c:v>
                </c:pt>
              </c:strCache>
            </c:strRef>
          </c:tx>
          <c:spPr>
            <a:solidFill>
              <a:schemeClr val="accent6"/>
            </a:solidFill>
            <a:ln>
              <a:noFill/>
            </a:ln>
            <a:effectLst/>
          </c:spPr>
          <c:invertIfNegative val="0"/>
          <c:cat>
            <c:numRef>
              <c:f>'LO3 Q13'!$B$16:$B$28</c:f>
              <c:numCache>
                <c:formatCode>0%</c:formatCode>
                <c:ptCount val="13"/>
                <c:pt idx="0">
                  <c:v>0</c:v>
                </c:pt>
                <c:pt idx="1">
                  <c:v>0.25</c:v>
                </c:pt>
                <c:pt idx="2">
                  <c:v>0.5</c:v>
                </c:pt>
                <c:pt idx="3">
                  <c:v>0.75</c:v>
                </c:pt>
                <c:pt idx="4">
                  <c:v>1</c:v>
                </c:pt>
                <c:pt idx="5">
                  <c:v>1.25</c:v>
                </c:pt>
                <c:pt idx="6">
                  <c:v>1.5</c:v>
                </c:pt>
                <c:pt idx="7">
                  <c:v>1.75</c:v>
                </c:pt>
                <c:pt idx="8">
                  <c:v>2</c:v>
                </c:pt>
                <c:pt idx="9">
                  <c:v>2.25</c:v>
                </c:pt>
                <c:pt idx="10">
                  <c:v>2.5</c:v>
                </c:pt>
                <c:pt idx="11">
                  <c:v>2.75</c:v>
                </c:pt>
                <c:pt idx="12">
                  <c:v>3</c:v>
                </c:pt>
              </c:numCache>
            </c:numRef>
          </c:cat>
          <c:val>
            <c:numRef>
              <c:f>'LO3 Q13'!$E$16:$E$28</c:f>
              <c:numCache>
                <c:formatCode>#,##0</c:formatCode>
                <c:ptCount val="13"/>
              </c:numCache>
            </c:numRef>
          </c:val>
          <c:extLst>
            <c:ext xmlns:c16="http://schemas.microsoft.com/office/drawing/2014/chart" uri="{C3380CC4-5D6E-409C-BE32-E72D297353CC}">
              <c16:uniqueId val="{00000002-F9BC-4641-B091-8B3660CB9AC4}"/>
            </c:ext>
          </c:extLst>
        </c:ser>
        <c:dLbls>
          <c:showLegendKey val="0"/>
          <c:showVal val="0"/>
          <c:showCatName val="0"/>
          <c:showSerName val="0"/>
          <c:showPercent val="0"/>
          <c:showBubbleSize val="0"/>
        </c:dLbls>
        <c:gapWidth val="219"/>
        <c:overlap val="-27"/>
        <c:axId val="172506256"/>
        <c:axId val="172469456"/>
        <c:extLst>
          <c:ext xmlns:c15="http://schemas.microsoft.com/office/drawing/2012/chart" uri="{02D57815-91ED-43cb-92C2-25804820EDAC}">
            <c15:filteredBarSeries>
              <c15:ser>
                <c:idx val="1"/>
                <c:order val="0"/>
                <c:tx>
                  <c:strRef>
                    <c:extLst>
                      <c:ext uri="{02D57815-91ED-43cb-92C2-25804820EDAC}">
                        <c15:formulaRef>
                          <c15:sqref>'LO3 Q13'!$B$15</c15:sqref>
                        </c15:formulaRef>
                      </c:ext>
                    </c:extLst>
                    <c:strCache>
                      <c:ptCount val="1"/>
                      <c:pt idx="0">
                        <c:v>Ratio of Actual to Expected Claims</c:v>
                      </c:pt>
                    </c:strCache>
                  </c:strRef>
                </c:tx>
                <c:spPr>
                  <a:solidFill>
                    <a:schemeClr val="accent5"/>
                  </a:solidFill>
                  <a:ln>
                    <a:noFill/>
                  </a:ln>
                  <a:effectLst/>
                </c:spPr>
                <c:invertIfNegative val="0"/>
                <c:cat>
                  <c:numRef>
                    <c:extLst>
                      <c:ext uri="{02D57815-91ED-43cb-92C2-25804820EDAC}">
                        <c15:formulaRef>
                          <c15:sqref>'LO3 Q13'!$B$16:$B$28</c15:sqref>
                        </c15:formulaRef>
                      </c:ext>
                    </c:extLst>
                    <c:numCache>
                      <c:formatCode>0%</c:formatCode>
                      <c:ptCount val="13"/>
                      <c:pt idx="0">
                        <c:v>0</c:v>
                      </c:pt>
                      <c:pt idx="1">
                        <c:v>0.25</c:v>
                      </c:pt>
                      <c:pt idx="2">
                        <c:v>0.5</c:v>
                      </c:pt>
                      <c:pt idx="3">
                        <c:v>0.75</c:v>
                      </c:pt>
                      <c:pt idx="4">
                        <c:v>1</c:v>
                      </c:pt>
                      <c:pt idx="5">
                        <c:v>1.25</c:v>
                      </c:pt>
                      <c:pt idx="6">
                        <c:v>1.5</c:v>
                      </c:pt>
                      <c:pt idx="7">
                        <c:v>1.75</c:v>
                      </c:pt>
                      <c:pt idx="8">
                        <c:v>2</c:v>
                      </c:pt>
                      <c:pt idx="9">
                        <c:v>2.25</c:v>
                      </c:pt>
                      <c:pt idx="10">
                        <c:v>2.5</c:v>
                      </c:pt>
                      <c:pt idx="11">
                        <c:v>2.75</c:v>
                      </c:pt>
                      <c:pt idx="12">
                        <c:v>3</c:v>
                      </c:pt>
                    </c:numCache>
                  </c:numRef>
                </c:cat>
                <c:val>
                  <c:numRef>
                    <c:extLst>
                      <c:ext uri="{02D57815-91ED-43cb-92C2-25804820EDAC}">
                        <c15:formulaRef>
                          <c15:sqref>'LO3 Q13'!$B$16:$B$28</c15:sqref>
                        </c15:formulaRef>
                      </c:ext>
                    </c:extLst>
                    <c:numCache>
                      <c:formatCode>0%</c:formatCode>
                      <c:ptCount val="13"/>
                      <c:pt idx="0">
                        <c:v>0</c:v>
                      </c:pt>
                      <c:pt idx="1">
                        <c:v>0.25</c:v>
                      </c:pt>
                      <c:pt idx="2">
                        <c:v>0.5</c:v>
                      </c:pt>
                      <c:pt idx="3">
                        <c:v>0.75</c:v>
                      </c:pt>
                      <c:pt idx="4">
                        <c:v>1</c:v>
                      </c:pt>
                      <c:pt idx="5">
                        <c:v>1.25</c:v>
                      </c:pt>
                      <c:pt idx="6">
                        <c:v>1.5</c:v>
                      </c:pt>
                      <c:pt idx="7">
                        <c:v>1.75</c:v>
                      </c:pt>
                      <c:pt idx="8">
                        <c:v>2</c:v>
                      </c:pt>
                      <c:pt idx="9">
                        <c:v>2.25</c:v>
                      </c:pt>
                      <c:pt idx="10">
                        <c:v>2.5</c:v>
                      </c:pt>
                      <c:pt idx="11">
                        <c:v>2.75</c:v>
                      </c:pt>
                      <c:pt idx="12">
                        <c:v>3</c:v>
                      </c:pt>
                    </c:numCache>
                  </c:numRef>
                </c:val>
                <c:extLst>
                  <c:ext xmlns:c16="http://schemas.microsoft.com/office/drawing/2014/chart" uri="{C3380CC4-5D6E-409C-BE32-E72D297353CC}">
                    <c16:uniqueId val="{00000003-F9BC-4641-B091-8B3660CB9AC4}"/>
                  </c:ext>
                </c:extLst>
              </c15:ser>
            </c15:filteredBarSeries>
          </c:ext>
        </c:extLst>
      </c:barChart>
      <c:catAx>
        <c:axId val="1725062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Ratio of Actual to Expected Claims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469456"/>
        <c:crosses val="autoZero"/>
        <c:auto val="1"/>
        <c:lblAlgn val="ctr"/>
        <c:lblOffset val="100"/>
        <c:noMultiLvlLbl val="0"/>
      </c:catAx>
      <c:valAx>
        <c:axId val="172469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506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Simulated Claim</a:t>
            </a:r>
            <a:r>
              <a:rPr lang="en-US" baseline="0"/>
              <a:t> Distribution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2"/>
          <c:order val="1"/>
          <c:tx>
            <c:strRef>
              <c:f>'LO3 A13'!$C$15</c:f>
              <c:strCache>
                <c:ptCount val="1"/>
                <c:pt idx="0">
                  <c:v>Base</c:v>
                </c:pt>
              </c:strCache>
            </c:strRef>
          </c:tx>
          <c:spPr>
            <a:solidFill>
              <a:schemeClr val="accent4"/>
            </a:solidFill>
            <a:ln>
              <a:noFill/>
            </a:ln>
            <a:effectLst/>
          </c:spPr>
          <c:invertIfNegative val="0"/>
          <c:cat>
            <c:numRef>
              <c:f>'LO3 A13'!$B$16:$B$28</c:f>
              <c:numCache>
                <c:formatCode>0%</c:formatCode>
                <c:ptCount val="13"/>
                <c:pt idx="0">
                  <c:v>0</c:v>
                </c:pt>
                <c:pt idx="1">
                  <c:v>0.25</c:v>
                </c:pt>
                <c:pt idx="2">
                  <c:v>0.5</c:v>
                </c:pt>
                <c:pt idx="3">
                  <c:v>0.75</c:v>
                </c:pt>
                <c:pt idx="4">
                  <c:v>1</c:v>
                </c:pt>
                <c:pt idx="5">
                  <c:v>1.25</c:v>
                </c:pt>
                <c:pt idx="6">
                  <c:v>1.5</c:v>
                </c:pt>
                <c:pt idx="7">
                  <c:v>1.75</c:v>
                </c:pt>
                <c:pt idx="8">
                  <c:v>2</c:v>
                </c:pt>
                <c:pt idx="9">
                  <c:v>2.25</c:v>
                </c:pt>
                <c:pt idx="10">
                  <c:v>2.5</c:v>
                </c:pt>
                <c:pt idx="11">
                  <c:v>2.75</c:v>
                </c:pt>
                <c:pt idx="12">
                  <c:v>3</c:v>
                </c:pt>
              </c:numCache>
            </c:numRef>
          </c:cat>
          <c:val>
            <c:numRef>
              <c:f>'LO3 A13'!$C$16:$C$28</c:f>
              <c:numCache>
                <c:formatCode>#,##0</c:formatCode>
                <c:ptCount val="13"/>
                <c:pt idx="0">
                  <c:v>0</c:v>
                </c:pt>
                <c:pt idx="1">
                  <c:v>13</c:v>
                </c:pt>
                <c:pt idx="2">
                  <c:v>160</c:v>
                </c:pt>
                <c:pt idx="3">
                  <c:v>310</c:v>
                </c:pt>
                <c:pt idx="4">
                  <c:v>225</c:v>
                </c:pt>
                <c:pt idx="5">
                  <c:v>120</c:v>
                </c:pt>
                <c:pt idx="6">
                  <c:v>70</c:v>
                </c:pt>
                <c:pt idx="7">
                  <c:v>45</c:v>
                </c:pt>
                <c:pt idx="8">
                  <c:v>20</c:v>
                </c:pt>
                <c:pt idx="9">
                  <c:v>20</c:v>
                </c:pt>
                <c:pt idx="10">
                  <c:v>12</c:v>
                </c:pt>
                <c:pt idx="11">
                  <c:v>5</c:v>
                </c:pt>
                <c:pt idx="12">
                  <c:v>0</c:v>
                </c:pt>
              </c:numCache>
            </c:numRef>
          </c:val>
          <c:extLst>
            <c:ext xmlns:c16="http://schemas.microsoft.com/office/drawing/2014/chart" uri="{C3380CC4-5D6E-409C-BE32-E72D297353CC}">
              <c16:uniqueId val="{00000000-A2AF-4FE3-9F91-3085FBF4560B}"/>
            </c:ext>
          </c:extLst>
        </c:ser>
        <c:ser>
          <c:idx val="3"/>
          <c:order val="2"/>
          <c:tx>
            <c:strRef>
              <c:f>'LO3 A13'!$D$15</c:f>
              <c:strCache>
                <c:ptCount val="1"/>
                <c:pt idx="0">
                  <c:v>Specific Stop Loss</c:v>
                </c:pt>
              </c:strCache>
            </c:strRef>
          </c:tx>
          <c:spPr>
            <a:solidFill>
              <a:schemeClr val="accent6">
                <a:lumMod val="60000"/>
              </a:schemeClr>
            </a:solidFill>
            <a:ln>
              <a:noFill/>
            </a:ln>
            <a:effectLst/>
          </c:spPr>
          <c:invertIfNegative val="0"/>
          <c:cat>
            <c:numRef>
              <c:f>'LO3 A13'!$B$16:$B$28</c:f>
              <c:numCache>
                <c:formatCode>0%</c:formatCode>
                <c:ptCount val="13"/>
                <c:pt idx="0">
                  <c:v>0</c:v>
                </c:pt>
                <c:pt idx="1">
                  <c:v>0.25</c:v>
                </c:pt>
                <c:pt idx="2">
                  <c:v>0.5</c:v>
                </c:pt>
                <c:pt idx="3">
                  <c:v>0.75</c:v>
                </c:pt>
                <c:pt idx="4">
                  <c:v>1</c:v>
                </c:pt>
                <c:pt idx="5">
                  <c:v>1.25</c:v>
                </c:pt>
                <c:pt idx="6">
                  <c:v>1.5</c:v>
                </c:pt>
                <c:pt idx="7">
                  <c:v>1.75</c:v>
                </c:pt>
                <c:pt idx="8">
                  <c:v>2</c:v>
                </c:pt>
                <c:pt idx="9">
                  <c:v>2.25</c:v>
                </c:pt>
                <c:pt idx="10">
                  <c:v>2.5</c:v>
                </c:pt>
                <c:pt idx="11">
                  <c:v>2.75</c:v>
                </c:pt>
                <c:pt idx="12">
                  <c:v>3</c:v>
                </c:pt>
              </c:numCache>
            </c:numRef>
          </c:cat>
          <c:val>
            <c:numRef>
              <c:f>'LO3 A13'!$D$16:$D$28</c:f>
              <c:numCache>
                <c:formatCode>#,##0</c:formatCode>
                <c:ptCount val="13"/>
                <c:pt idx="0">
                  <c:v>0</c:v>
                </c:pt>
                <c:pt idx="1">
                  <c:v>13</c:v>
                </c:pt>
                <c:pt idx="2">
                  <c:v>160</c:v>
                </c:pt>
                <c:pt idx="3">
                  <c:v>310</c:v>
                </c:pt>
                <c:pt idx="4">
                  <c:v>260</c:v>
                </c:pt>
                <c:pt idx="5">
                  <c:v>160</c:v>
                </c:pt>
                <c:pt idx="6">
                  <c:v>50</c:v>
                </c:pt>
                <c:pt idx="7">
                  <c:v>23</c:v>
                </c:pt>
                <c:pt idx="8">
                  <c:v>14</c:v>
                </c:pt>
                <c:pt idx="9">
                  <c:v>7</c:v>
                </c:pt>
                <c:pt idx="10">
                  <c:v>3</c:v>
                </c:pt>
                <c:pt idx="11">
                  <c:v>0</c:v>
                </c:pt>
                <c:pt idx="12">
                  <c:v>0</c:v>
                </c:pt>
              </c:numCache>
            </c:numRef>
          </c:val>
          <c:extLst>
            <c:ext xmlns:c16="http://schemas.microsoft.com/office/drawing/2014/chart" uri="{C3380CC4-5D6E-409C-BE32-E72D297353CC}">
              <c16:uniqueId val="{00000001-A2AF-4FE3-9F91-3085FBF4560B}"/>
            </c:ext>
          </c:extLst>
        </c:ser>
        <c:ser>
          <c:idx val="0"/>
          <c:order val="3"/>
          <c:tx>
            <c:strRef>
              <c:f>'LO3 A13'!$E$15</c:f>
              <c:strCache>
                <c:ptCount val="1"/>
                <c:pt idx="0">
                  <c:v>Aggregate Stop Loss</c:v>
                </c:pt>
              </c:strCache>
            </c:strRef>
          </c:tx>
          <c:spPr>
            <a:solidFill>
              <a:schemeClr val="accent6"/>
            </a:solidFill>
            <a:ln>
              <a:noFill/>
            </a:ln>
            <a:effectLst/>
          </c:spPr>
          <c:invertIfNegative val="0"/>
          <c:cat>
            <c:numRef>
              <c:f>'LO3 A13'!$B$16:$B$28</c:f>
              <c:numCache>
                <c:formatCode>0%</c:formatCode>
                <c:ptCount val="13"/>
                <c:pt idx="0">
                  <c:v>0</c:v>
                </c:pt>
                <c:pt idx="1">
                  <c:v>0.25</c:v>
                </c:pt>
                <c:pt idx="2">
                  <c:v>0.5</c:v>
                </c:pt>
                <c:pt idx="3">
                  <c:v>0.75</c:v>
                </c:pt>
                <c:pt idx="4">
                  <c:v>1</c:v>
                </c:pt>
                <c:pt idx="5">
                  <c:v>1.25</c:v>
                </c:pt>
                <c:pt idx="6">
                  <c:v>1.5</c:v>
                </c:pt>
                <c:pt idx="7">
                  <c:v>1.75</c:v>
                </c:pt>
                <c:pt idx="8">
                  <c:v>2</c:v>
                </c:pt>
                <c:pt idx="9">
                  <c:v>2.25</c:v>
                </c:pt>
                <c:pt idx="10">
                  <c:v>2.5</c:v>
                </c:pt>
                <c:pt idx="11">
                  <c:v>2.75</c:v>
                </c:pt>
                <c:pt idx="12">
                  <c:v>3</c:v>
                </c:pt>
              </c:numCache>
            </c:numRef>
          </c:cat>
          <c:val>
            <c:numRef>
              <c:f>'LO3 A13'!$E$16:$E$28</c:f>
              <c:numCache>
                <c:formatCode>#,##0</c:formatCode>
                <c:ptCount val="13"/>
                <c:pt idx="0">
                  <c:v>0</c:v>
                </c:pt>
                <c:pt idx="1">
                  <c:v>13</c:v>
                </c:pt>
                <c:pt idx="2">
                  <c:v>160</c:v>
                </c:pt>
                <c:pt idx="3">
                  <c:v>310</c:v>
                </c:pt>
                <c:pt idx="4">
                  <c:v>260</c:v>
                </c:pt>
                <c:pt idx="5">
                  <c:v>257</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A2AF-4FE3-9F91-3085FBF4560B}"/>
            </c:ext>
          </c:extLst>
        </c:ser>
        <c:dLbls>
          <c:showLegendKey val="0"/>
          <c:showVal val="0"/>
          <c:showCatName val="0"/>
          <c:showSerName val="0"/>
          <c:showPercent val="0"/>
          <c:showBubbleSize val="0"/>
        </c:dLbls>
        <c:gapWidth val="219"/>
        <c:overlap val="-27"/>
        <c:axId val="172506256"/>
        <c:axId val="172469456"/>
        <c:extLst>
          <c:ext xmlns:c15="http://schemas.microsoft.com/office/drawing/2012/chart" uri="{02D57815-91ED-43cb-92C2-25804820EDAC}">
            <c15:filteredBarSeries>
              <c15:ser>
                <c:idx val="1"/>
                <c:order val="0"/>
                <c:tx>
                  <c:strRef>
                    <c:extLst>
                      <c:ext uri="{02D57815-91ED-43cb-92C2-25804820EDAC}">
                        <c15:formulaRef>
                          <c15:sqref>'LO3 A13'!$B$15</c15:sqref>
                        </c15:formulaRef>
                      </c:ext>
                    </c:extLst>
                    <c:strCache>
                      <c:ptCount val="1"/>
                      <c:pt idx="0">
                        <c:v>Ratio of Actual to Expected Claims</c:v>
                      </c:pt>
                    </c:strCache>
                  </c:strRef>
                </c:tx>
                <c:spPr>
                  <a:solidFill>
                    <a:schemeClr val="accent5"/>
                  </a:solidFill>
                  <a:ln>
                    <a:noFill/>
                  </a:ln>
                  <a:effectLst/>
                </c:spPr>
                <c:invertIfNegative val="0"/>
                <c:cat>
                  <c:numRef>
                    <c:extLst>
                      <c:ext uri="{02D57815-91ED-43cb-92C2-25804820EDAC}">
                        <c15:formulaRef>
                          <c15:sqref>'LO3 A13'!$B$16:$B$28</c15:sqref>
                        </c15:formulaRef>
                      </c:ext>
                    </c:extLst>
                    <c:numCache>
                      <c:formatCode>0%</c:formatCode>
                      <c:ptCount val="13"/>
                      <c:pt idx="0">
                        <c:v>0</c:v>
                      </c:pt>
                      <c:pt idx="1">
                        <c:v>0.25</c:v>
                      </c:pt>
                      <c:pt idx="2">
                        <c:v>0.5</c:v>
                      </c:pt>
                      <c:pt idx="3">
                        <c:v>0.75</c:v>
                      </c:pt>
                      <c:pt idx="4">
                        <c:v>1</c:v>
                      </c:pt>
                      <c:pt idx="5">
                        <c:v>1.25</c:v>
                      </c:pt>
                      <c:pt idx="6">
                        <c:v>1.5</c:v>
                      </c:pt>
                      <c:pt idx="7">
                        <c:v>1.75</c:v>
                      </c:pt>
                      <c:pt idx="8">
                        <c:v>2</c:v>
                      </c:pt>
                      <c:pt idx="9">
                        <c:v>2.25</c:v>
                      </c:pt>
                      <c:pt idx="10">
                        <c:v>2.5</c:v>
                      </c:pt>
                      <c:pt idx="11">
                        <c:v>2.75</c:v>
                      </c:pt>
                      <c:pt idx="12">
                        <c:v>3</c:v>
                      </c:pt>
                    </c:numCache>
                  </c:numRef>
                </c:cat>
                <c:val>
                  <c:numRef>
                    <c:extLst>
                      <c:ext uri="{02D57815-91ED-43cb-92C2-25804820EDAC}">
                        <c15:formulaRef>
                          <c15:sqref>'LO3 A13'!$B$16:$B$28</c15:sqref>
                        </c15:formulaRef>
                      </c:ext>
                    </c:extLst>
                    <c:numCache>
                      <c:formatCode>0%</c:formatCode>
                      <c:ptCount val="13"/>
                      <c:pt idx="0">
                        <c:v>0</c:v>
                      </c:pt>
                      <c:pt idx="1">
                        <c:v>0.25</c:v>
                      </c:pt>
                      <c:pt idx="2">
                        <c:v>0.5</c:v>
                      </c:pt>
                      <c:pt idx="3">
                        <c:v>0.75</c:v>
                      </c:pt>
                      <c:pt idx="4">
                        <c:v>1</c:v>
                      </c:pt>
                      <c:pt idx="5">
                        <c:v>1.25</c:v>
                      </c:pt>
                      <c:pt idx="6">
                        <c:v>1.5</c:v>
                      </c:pt>
                      <c:pt idx="7">
                        <c:v>1.75</c:v>
                      </c:pt>
                      <c:pt idx="8">
                        <c:v>2</c:v>
                      </c:pt>
                      <c:pt idx="9">
                        <c:v>2.25</c:v>
                      </c:pt>
                      <c:pt idx="10">
                        <c:v>2.5</c:v>
                      </c:pt>
                      <c:pt idx="11">
                        <c:v>2.75</c:v>
                      </c:pt>
                      <c:pt idx="12">
                        <c:v>3</c:v>
                      </c:pt>
                    </c:numCache>
                  </c:numRef>
                </c:val>
                <c:extLst>
                  <c:ext xmlns:c16="http://schemas.microsoft.com/office/drawing/2014/chart" uri="{C3380CC4-5D6E-409C-BE32-E72D297353CC}">
                    <c16:uniqueId val="{00000003-A2AF-4FE3-9F91-3085FBF4560B}"/>
                  </c:ext>
                </c:extLst>
              </c15:ser>
            </c15:filteredBarSeries>
          </c:ext>
        </c:extLst>
      </c:barChart>
      <c:catAx>
        <c:axId val="1725062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Ratio of Actual to Expected Claims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469456"/>
        <c:crosses val="autoZero"/>
        <c:auto val="1"/>
        <c:lblAlgn val="ctr"/>
        <c:lblOffset val="100"/>
        <c:noMultiLvlLbl val="0"/>
      </c:catAx>
      <c:valAx>
        <c:axId val="172469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Frequency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506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967626B8-EB17-4FE2-B4D3-C4777EF9BA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7145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422B77F1-8F8C-4741-ACF6-A6D83B852A93}"/>
            </a:ext>
          </a:extLst>
        </xdr:cNvPr>
        <xdr:cNvCxnSpPr/>
      </xdr:nvCxnSpPr>
      <xdr:spPr>
        <a:xfrm>
          <a:off x="285750" y="174117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A5A49EC1-D004-4CD6-B64A-F935113DA4FB}"/>
            </a:ext>
          </a:extLst>
        </xdr:cNvPr>
        <xdr:cNvCxnSpPr/>
      </xdr:nvCxnSpPr>
      <xdr:spPr>
        <a:xfrm>
          <a:off x="295275" y="88392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16329</xdr:colOff>
      <xdr:row>11</xdr:row>
      <xdr:rowOff>58511</xdr:rowOff>
    </xdr:from>
    <xdr:ext cx="7000177" cy="2799522"/>
    <xdr:pic>
      <xdr:nvPicPr>
        <xdr:cNvPr id="2" name="image2.png">
          <a:extLst>
            <a:ext uri="{FF2B5EF4-FFF2-40B4-BE49-F238E27FC236}">
              <a16:creationId xmlns:a16="http://schemas.microsoft.com/office/drawing/2014/main" id="{7A9EDCB9-C6E8-48F4-AA66-89430568E02B}"/>
            </a:ext>
          </a:extLst>
        </xdr:cNvPr>
        <xdr:cNvPicPr>
          <a:picLocks noChangeAspect="1"/>
        </xdr:cNvPicPr>
      </xdr:nvPicPr>
      <xdr:blipFill>
        <a:blip xmlns:r="http://schemas.openxmlformats.org/officeDocument/2006/relationships" r:embed="rId1" cstate="print"/>
        <a:stretch>
          <a:fillRect/>
        </a:stretch>
      </xdr:blipFill>
      <xdr:spPr>
        <a:xfrm>
          <a:off x="3677739" y="2045426"/>
          <a:ext cx="7000177" cy="279952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6</xdr:col>
      <xdr:colOff>16329</xdr:colOff>
      <xdr:row>11</xdr:row>
      <xdr:rowOff>58511</xdr:rowOff>
    </xdr:from>
    <xdr:ext cx="7002899" cy="2802243"/>
    <xdr:pic>
      <xdr:nvPicPr>
        <xdr:cNvPr id="2" name="image2.png">
          <a:extLst>
            <a:ext uri="{FF2B5EF4-FFF2-40B4-BE49-F238E27FC236}">
              <a16:creationId xmlns:a16="http://schemas.microsoft.com/office/drawing/2014/main" id="{F7535F16-4E45-44F0-8F24-D11EDFE8D74C}"/>
            </a:ext>
          </a:extLst>
        </xdr:cNvPr>
        <xdr:cNvPicPr>
          <a:picLocks noChangeAspect="1"/>
        </xdr:cNvPicPr>
      </xdr:nvPicPr>
      <xdr:blipFill>
        <a:blip xmlns:r="http://schemas.openxmlformats.org/officeDocument/2006/relationships" r:embed="rId1" cstate="print"/>
        <a:stretch>
          <a:fillRect/>
        </a:stretch>
      </xdr:blipFill>
      <xdr:spPr>
        <a:xfrm>
          <a:off x="3677739" y="2045426"/>
          <a:ext cx="7002899" cy="280224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8</xdr:col>
      <xdr:colOff>1</xdr:colOff>
      <xdr:row>12</xdr:row>
      <xdr:rowOff>46265</xdr:rowOff>
    </xdr:from>
    <xdr:to>
      <xdr:col>18</xdr:col>
      <xdr:colOff>200026</xdr:colOff>
      <xdr:row>29</xdr:row>
      <xdr:rowOff>131719</xdr:rowOff>
    </xdr:to>
    <xdr:graphicFrame macro="">
      <xdr:nvGraphicFramePr>
        <xdr:cNvPr id="2" name="Chart 1">
          <a:extLst>
            <a:ext uri="{FF2B5EF4-FFF2-40B4-BE49-F238E27FC236}">
              <a16:creationId xmlns:a16="http://schemas.microsoft.com/office/drawing/2014/main" id="{5E860A21-DA81-44E0-BA6A-E37A10A847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1</xdr:colOff>
      <xdr:row>12</xdr:row>
      <xdr:rowOff>46265</xdr:rowOff>
    </xdr:from>
    <xdr:to>
      <xdr:col>18</xdr:col>
      <xdr:colOff>200026</xdr:colOff>
      <xdr:row>29</xdr:row>
      <xdr:rowOff>131719</xdr:rowOff>
    </xdr:to>
    <xdr:graphicFrame macro="">
      <xdr:nvGraphicFramePr>
        <xdr:cNvPr id="2" name="Chart 1">
          <a:extLst>
            <a:ext uri="{FF2B5EF4-FFF2-40B4-BE49-F238E27FC236}">
              <a16:creationId xmlns:a16="http://schemas.microsoft.com/office/drawing/2014/main" id="{3FDE6FAD-C89A-45A4-8ADA-3B864B16D7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GUIDED%20EXAMPLES/Fully%20Assembled/CFE101%20Guided%20Examples%202025-2026.xlsx" TargetMode="External"/><Relationship Id="rId1" Type="http://schemas.openxmlformats.org/officeDocument/2006/relationships/externalLinkPath" Target="/personal/dnorris_soa_org/Documents/Documents/Projects/2025-26%20Curriculum/FINAL%20GUIDED%20EXAMPLES/Fully%20Assembled/CFE101%20Guided%20Examples%202025-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S1"/>
      <sheetName val="Q1.1"/>
      <sheetName val="A1.1"/>
      <sheetName val="Q1.2"/>
      <sheetName val="A1.2"/>
      <sheetName val="S2"/>
      <sheetName val="Q2.1"/>
      <sheetName val="A2.1"/>
      <sheetName val="Q2.2"/>
      <sheetName val="A2.2"/>
      <sheetName val="S3"/>
      <sheetName val="Q3.1"/>
      <sheetName val="A3.1"/>
      <sheetName val="S4"/>
      <sheetName val="Q4.1"/>
      <sheetName val="A4.1"/>
      <sheetName val="S5"/>
      <sheetName val="Q5.1"/>
      <sheetName val="A5.1"/>
      <sheetName val="Q5.2"/>
      <sheetName val="A5.2"/>
      <sheetName val="S6"/>
      <sheetName val="Q6.1"/>
      <sheetName val="A6.1"/>
      <sheetName val="S7"/>
      <sheetName val="Q7.1"/>
      <sheetName val="A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E266B-E3B0-48EE-A6C0-47AF1D4EA457}">
  <sheetPr>
    <tabColor rgb="FF0070C0"/>
    <pageSetUpPr autoPageBreaks="0"/>
  </sheetPr>
  <dimension ref="A6:K21"/>
  <sheetViews>
    <sheetView showGridLines="0" tabSelected="1" zoomScale="115" zoomScaleNormal="115" workbookViewId="0"/>
  </sheetViews>
  <sheetFormatPr defaultRowHeight="14.4" x14ac:dyDescent="0.3"/>
  <sheetData>
    <row r="6" spans="1:10" ht="33.6" x14ac:dyDescent="0.65">
      <c r="A6" s="431" t="s">
        <v>1723</v>
      </c>
      <c r="B6" s="431"/>
      <c r="C6" s="431"/>
      <c r="D6" s="431"/>
      <c r="E6" s="431"/>
      <c r="F6" s="431"/>
      <c r="G6" s="431"/>
      <c r="H6" s="431"/>
      <c r="I6" s="431"/>
      <c r="J6" s="431"/>
    </row>
    <row r="7" spans="1:10" ht="6" customHeight="1" x14ac:dyDescent="0.3">
      <c r="A7" s="432"/>
      <c r="B7" s="432"/>
      <c r="C7" s="432"/>
      <c r="D7" s="432"/>
      <c r="E7" s="432"/>
      <c r="F7" s="432"/>
      <c r="G7" s="432"/>
      <c r="H7" s="432"/>
      <c r="I7" s="432"/>
      <c r="J7" s="432"/>
    </row>
    <row r="8" spans="1:10" ht="21" x14ac:dyDescent="0.4">
      <c r="A8" s="433" t="s">
        <v>1733</v>
      </c>
      <c r="B8" s="433"/>
      <c r="C8" s="433"/>
      <c r="D8" s="433"/>
      <c r="E8" s="433"/>
      <c r="F8" s="433"/>
      <c r="G8" s="433"/>
      <c r="H8" s="433"/>
      <c r="I8" s="433"/>
      <c r="J8" s="433"/>
    </row>
    <row r="10" spans="1:10" ht="75" customHeight="1" x14ac:dyDescent="0.3">
      <c r="A10" s="434" t="s">
        <v>1724</v>
      </c>
      <c r="B10" s="435" t="s">
        <v>1725</v>
      </c>
      <c r="C10" s="435"/>
      <c r="D10" s="435"/>
      <c r="E10" s="435"/>
      <c r="F10" s="435"/>
      <c r="G10" s="435"/>
      <c r="H10" s="435"/>
      <c r="I10" s="435"/>
      <c r="J10" s="435"/>
    </row>
    <row r="11" spans="1:10" x14ac:dyDescent="0.3">
      <c r="B11" s="436"/>
      <c r="C11" s="436"/>
      <c r="D11" s="436"/>
      <c r="E11" s="436"/>
      <c r="F11" s="436"/>
      <c r="G11" s="436"/>
      <c r="H11" s="436"/>
      <c r="I11" s="436"/>
      <c r="J11" s="436"/>
    </row>
    <row r="12" spans="1:10" ht="45" customHeight="1" x14ac:dyDescent="0.3">
      <c r="A12" s="434" t="s">
        <v>1724</v>
      </c>
      <c r="B12" s="435" t="s">
        <v>1726</v>
      </c>
      <c r="C12" s="435"/>
      <c r="D12" s="435"/>
      <c r="E12" s="435"/>
      <c r="F12" s="435"/>
      <c r="G12" s="435"/>
      <c r="H12" s="435"/>
      <c r="I12" s="435"/>
      <c r="J12" s="435"/>
    </row>
    <row r="13" spans="1:10" x14ac:dyDescent="0.3">
      <c r="B13" s="436"/>
      <c r="C13" s="436"/>
      <c r="D13" s="436"/>
      <c r="E13" s="436"/>
      <c r="F13" s="436"/>
      <c r="G13" s="436"/>
      <c r="H13" s="436"/>
      <c r="I13" s="436"/>
      <c r="J13" s="436"/>
    </row>
    <row r="14" spans="1:10" ht="45.6" customHeight="1" x14ac:dyDescent="0.3">
      <c r="A14" s="434" t="s">
        <v>1724</v>
      </c>
      <c r="B14" s="435" t="s">
        <v>1727</v>
      </c>
      <c r="C14" s="435"/>
      <c r="D14" s="435"/>
      <c r="E14" s="435"/>
      <c r="F14" s="435"/>
      <c r="G14" s="435"/>
      <c r="H14" s="435"/>
      <c r="I14" s="435"/>
      <c r="J14" s="435"/>
    </row>
    <row r="15" spans="1:10" x14ac:dyDescent="0.3">
      <c r="B15" s="436"/>
      <c r="C15" s="436"/>
      <c r="D15" s="436"/>
      <c r="E15" s="436"/>
      <c r="F15" s="436"/>
      <c r="G15" s="436"/>
      <c r="H15" s="436"/>
      <c r="I15" s="436"/>
      <c r="J15" s="436"/>
    </row>
    <row r="16" spans="1:10" ht="72.599999999999994" customHeight="1" x14ac:dyDescent="0.3">
      <c r="A16" s="434" t="s">
        <v>1724</v>
      </c>
      <c r="B16" s="435" t="s">
        <v>1728</v>
      </c>
      <c r="C16" s="435"/>
      <c r="D16" s="435"/>
      <c r="E16" s="435"/>
      <c r="F16" s="435"/>
      <c r="G16" s="435"/>
      <c r="H16" s="435"/>
      <c r="I16" s="435"/>
      <c r="J16" s="435"/>
    </row>
    <row r="17" spans="1:11" x14ac:dyDescent="0.3">
      <c r="B17" s="436"/>
      <c r="C17" s="436"/>
      <c r="D17" s="436"/>
      <c r="E17" s="436"/>
      <c r="F17" s="436"/>
      <c r="G17" s="436"/>
      <c r="H17" s="436"/>
      <c r="I17" s="436"/>
      <c r="J17" s="436"/>
      <c r="K17" s="262"/>
    </row>
    <row r="18" spans="1:11" ht="44.4" customHeight="1" x14ac:dyDescent="0.3">
      <c r="A18" s="434" t="s">
        <v>1724</v>
      </c>
      <c r="B18" s="435" t="s">
        <v>1729</v>
      </c>
      <c r="C18" s="435"/>
      <c r="D18" s="435"/>
      <c r="E18" s="435"/>
      <c r="F18" s="435"/>
      <c r="G18" s="435"/>
      <c r="H18" s="435"/>
      <c r="I18" s="435"/>
      <c r="J18" s="435"/>
    </row>
    <row r="21" spans="1:11" x14ac:dyDescent="0.3">
      <c r="B21" s="437" t="s">
        <v>1730</v>
      </c>
      <c r="C21" s="437"/>
      <c r="D21" s="438" t="s">
        <v>1731</v>
      </c>
      <c r="E21" s="438"/>
      <c r="F21" s="438"/>
      <c r="G21" s="438"/>
      <c r="H21" s="439" t="s">
        <v>1732</v>
      </c>
      <c r="I21" s="439"/>
      <c r="J21" s="439"/>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DBA38-4B88-4D40-88F7-187531B7119B}">
  <sheetPr>
    <tabColor theme="5" tint="0.39997558519241921"/>
  </sheetPr>
  <dimension ref="A1:P57"/>
  <sheetViews>
    <sheetView workbookViewId="0">
      <selection activeCell="B5" sqref="B5"/>
    </sheetView>
  </sheetViews>
  <sheetFormatPr defaultRowHeight="14.4" x14ac:dyDescent="0.3"/>
  <cols>
    <col min="4" max="10" width="12.5546875" customWidth="1"/>
  </cols>
  <sheetData>
    <row r="1" spans="1:16" ht="15" thickBot="1" x14ac:dyDescent="0.35">
      <c r="A1" t="s">
        <v>96</v>
      </c>
    </row>
    <row r="2" spans="1:16" ht="15" thickBot="1" x14ac:dyDescent="0.35">
      <c r="G2" s="11" t="s">
        <v>13</v>
      </c>
      <c r="H2" s="10"/>
    </row>
    <row r="3" spans="1:16" x14ac:dyDescent="0.3">
      <c r="G3" s="9" t="s">
        <v>12</v>
      </c>
      <c r="H3" s="9"/>
    </row>
    <row r="4" spans="1:16" ht="15" thickBot="1" x14ac:dyDescent="0.35">
      <c r="G4" s="8" t="s">
        <v>11</v>
      </c>
      <c r="H4" s="8"/>
    </row>
    <row r="5" spans="1:16" ht="15.6" thickTop="1" thickBot="1" x14ac:dyDescent="0.35">
      <c r="G5" s="7" t="s">
        <v>10</v>
      </c>
      <c r="H5" s="7"/>
    </row>
    <row r="6" spans="1:16" ht="15" thickTop="1" x14ac:dyDescent="0.3">
      <c r="G6" s="6" t="s">
        <v>9</v>
      </c>
      <c r="H6" s="5"/>
    </row>
    <row r="7" spans="1:16" ht="15" thickBot="1" x14ac:dyDescent="0.35"/>
    <row r="8" spans="1:16" ht="15" thickBot="1" x14ac:dyDescent="0.35">
      <c r="D8" s="375" t="s">
        <v>8</v>
      </c>
      <c r="E8" s="377"/>
    </row>
    <row r="9" spans="1:16" s="83" customFormat="1" x14ac:dyDescent="0.3"/>
    <row r="10" spans="1:16" s="83" customFormat="1" x14ac:dyDescent="0.3">
      <c r="D10" s="83" t="s">
        <v>95</v>
      </c>
    </row>
    <row r="11" spans="1:16" s="83" customFormat="1" x14ac:dyDescent="0.3">
      <c r="D11" s="83" t="s">
        <v>94</v>
      </c>
    </row>
    <row r="12" spans="1:16" s="83" customFormat="1" x14ac:dyDescent="0.3"/>
    <row r="13" spans="1:16" s="83" customFormat="1" x14ac:dyDescent="0.3"/>
    <row r="14" spans="1:16" s="83" customFormat="1" ht="15" thickBot="1" x14ac:dyDescent="0.35"/>
    <row r="15" spans="1:16" ht="15" thickBot="1" x14ac:dyDescent="0.35">
      <c r="B15" t="s">
        <v>93</v>
      </c>
      <c r="D15" s="375" t="s">
        <v>4</v>
      </c>
      <c r="E15" s="376"/>
      <c r="F15" s="376"/>
      <c r="G15" s="376"/>
      <c r="H15" s="376"/>
      <c r="I15" s="376"/>
      <c r="J15" s="377"/>
      <c r="L15" s="375" t="s">
        <v>3</v>
      </c>
      <c r="M15" s="376"/>
      <c r="N15" s="376"/>
      <c r="O15" s="376"/>
      <c r="P15" s="377"/>
    </row>
    <row r="16" spans="1:16" x14ac:dyDescent="0.3">
      <c r="B16" t="s">
        <v>92</v>
      </c>
    </row>
    <row r="17" spans="4:10" ht="43.2" x14ac:dyDescent="0.3">
      <c r="D17" s="3" t="s">
        <v>77</v>
      </c>
      <c r="E17" s="3" t="s">
        <v>25</v>
      </c>
      <c r="F17" s="3" t="s">
        <v>91</v>
      </c>
      <c r="G17" s="3" t="s">
        <v>90</v>
      </c>
      <c r="H17" s="3" t="s">
        <v>89</v>
      </c>
      <c r="I17" s="3" t="s">
        <v>87</v>
      </c>
      <c r="J17" s="3" t="s">
        <v>88</v>
      </c>
    </row>
    <row r="18" spans="4:10" x14ac:dyDescent="0.3">
      <c r="D18" s="14" t="s">
        <v>74</v>
      </c>
      <c r="E18" s="14">
        <v>50</v>
      </c>
      <c r="F18" s="14">
        <v>2</v>
      </c>
      <c r="G18" s="14">
        <v>0.8</v>
      </c>
      <c r="H18" s="14">
        <v>0.8</v>
      </c>
      <c r="I18" s="14">
        <v>1</v>
      </c>
      <c r="J18" s="14">
        <v>6000</v>
      </c>
    </row>
    <row r="19" spans="4:10" x14ac:dyDescent="0.3">
      <c r="D19" s="14" t="s">
        <v>73</v>
      </c>
      <c r="E19" s="14">
        <v>60</v>
      </c>
      <c r="F19" s="14">
        <v>2</v>
      </c>
      <c r="G19" s="14">
        <v>0.85</v>
      </c>
      <c r="H19" s="14">
        <v>0.9</v>
      </c>
      <c r="I19" s="14">
        <v>1</v>
      </c>
      <c r="J19" s="14">
        <v>7200</v>
      </c>
    </row>
    <row r="20" spans="4:10" x14ac:dyDescent="0.3">
      <c r="D20" s="14" t="s">
        <v>72</v>
      </c>
      <c r="E20" s="14">
        <v>250</v>
      </c>
      <c r="F20" s="14">
        <v>2</v>
      </c>
      <c r="G20" s="14">
        <v>0.6</v>
      </c>
      <c r="H20" s="14">
        <v>0.65</v>
      </c>
      <c r="I20" s="14">
        <v>2</v>
      </c>
      <c r="J20" s="14">
        <v>2400</v>
      </c>
    </row>
    <row r="21" spans="4:10" x14ac:dyDescent="0.3">
      <c r="D21" s="14" t="s">
        <v>71</v>
      </c>
      <c r="E21" s="14">
        <v>300</v>
      </c>
      <c r="F21" s="14">
        <v>2</v>
      </c>
      <c r="G21" s="14">
        <v>0.6</v>
      </c>
      <c r="H21" s="14">
        <v>0.65</v>
      </c>
      <c r="I21" s="14">
        <v>3</v>
      </c>
      <c r="J21" s="14">
        <v>1800</v>
      </c>
    </row>
    <row r="22" spans="4:10" x14ac:dyDescent="0.3">
      <c r="D22" s="14" t="s">
        <v>70</v>
      </c>
      <c r="E22" s="14">
        <v>400</v>
      </c>
      <c r="F22" s="14">
        <v>2</v>
      </c>
      <c r="G22" s="14">
        <v>0.4</v>
      </c>
      <c r="H22" s="14">
        <v>0.35</v>
      </c>
      <c r="I22" s="14">
        <v>3</v>
      </c>
      <c r="J22" s="14">
        <v>3600</v>
      </c>
    </row>
    <row r="23" spans="4:10" x14ac:dyDescent="0.3">
      <c r="D23" s="14" t="s">
        <v>69</v>
      </c>
      <c r="E23" s="14">
        <v>10000</v>
      </c>
      <c r="F23" s="14">
        <v>2</v>
      </c>
      <c r="G23" s="14">
        <v>0.25</v>
      </c>
      <c r="H23" s="14">
        <v>0.25</v>
      </c>
      <c r="I23" s="14">
        <v>4</v>
      </c>
      <c r="J23" s="14">
        <v>36</v>
      </c>
    </row>
    <row r="28" spans="4:10" ht="30.6" customHeight="1" x14ac:dyDescent="0.3">
      <c r="D28" s="3" t="s">
        <v>87</v>
      </c>
      <c r="E28" s="3" t="s">
        <v>86</v>
      </c>
      <c r="F28" s="3" t="s">
        <v>85</v>
      </c>
    </row>
    <row r="29" spans="4:10" x14ac:dyDescent="0.3">
      <c r="D29" s="81">
        <v>1</v>
      </c>
      <c r="E29" s="82" t="s">
        <v>84</v>
      </c>
      <c r="F29" s="81">
        <v>5</v>
      </c>
    </row>
    <row r="30" spans="4:10" x14ac:dyDescent="0.3">
      <c r="D30" s="81">
        <v>2</v>
      </c>
      <c r="E30" s="82" t="s">
        <v>83</v>
      </c>
      <c r="F30" s="81">
        <v>25</v>
      </c>
    </row>
    <row r="31" spans="4:10" x14ac:dyDescent="0.3">
      <c r="D31" s="81">
        <v>3</v>
      </c>
      <c r="E31" s="82" t="s">
        <v>82</v>
      </c>
      <c r="F31" s="81">
        <v>50</v>
      </c>
    </row>
    <row r="32" spans="4:10" x14ac:dyDescent="0.3">
      <c r="D32" s="81">
        <v>4</v>
      </c>
      <c r="E32" s="82" t="s">
        <v>19</v>
      </c>
      <c r="F32" s="81">
        <v>0.3</v>
      </c>
    </row>
    <row r="40" spans="2:10" s="26" customFormat="1" ht="15" thickBot="1" x14ac:dyDescent="0.35"/>
    <row r="41" spans="2:10" ht="15" thickBot="1" x14ac:dyDescent="0.35">
      <c r="B41" t="s">
        <v>81</v>
      </c>
      <c r="D41" s="375" t="s">
        <v>8</v>
      </c>
      <c r="E41" s="377"/>
    </row>
    <row r="43" spans="2:10" x14ac:dyDescent="0.3">
      <c r="D43" t="s">
        <v>80</v>
      </c>
    </row>
    <row r="44" spans="2:10" x14ac:dyDescent="0.3">
      <c r="D44" t="s">
        <v>79</v>
      </c>
    </row>
    <row r="45" spans="2:10" x14ac:dyDescent="0.3">
      <c r="D45" t="s">
        <v>78</v>
      </c>
    </row>
    <row r="46" spans="2:10" ht="15" thickBot="1" x14ac:dyDescent="0.35"/>
    <row r="47" spans="2:10" ht="15" thickBot="1" x14ac:dyDescent="0.35">
      <c r="D47" s="375" t="s">
        <v>4</v>
      </c>
      <c r="E47" s="376"/>
      <c r="F47" s="376"/>
      <c r="G47" s="376"/>
      <c r="H47" s="376"/>
      <c r="I47" s="376"/>
      <c r="J47" s="377"/>
    </row>
    <row r="51" spans="4:6" ht="43.2" x14ac:dyDescent="0.3">
      <c r="D51" s="21" t="s">
        <v>77</v>
      </c>
      <c r="E51" s="21" t="s">
        <v>76</v>
      </c>
      <c r="F51" s="21" t="s">
        <v>75</v>
      </c>
    </row>
    <row r="52" spans="4:6" x14ac:dyDescent="0.3">
      <c r="D52" s="14" t="s">
        <v>74</v>
      </c>
      <c r="E52" s="14">
        <v>1</v>
      </c>
      <c r="F52" s="14">
        <v>0</v>
      </c>
    </row>
    <row r="53" spans="4:6" x14ac:dyDescent="0.3">
      <c r="D53" s="14" t="s">
        <v>73</v>
      </c>
      <c r="E53" s="14">
        <v>1</v>
      </c>
      <c r="F53" s="14">
        <v>0</v>
      </c>
    </row>
    <row r="54" spans="4:6" x14ac:dyDescent="0.3">
      <c r="D54" s="14" t="s">
        <v>72</v>
      </c>
      <c r="E54" s="14">
        <v>2</v>
      </c>
      <c r="F54" s="14">
        <v>25</v>
      </c>
    </row>
    <row r="55" spans="4:6" x14ac:dyDescent="0.3">
      <c r="D55" s="14" t="s">
        <v>71</v>
      </c>
      <c r="E55" s="14">
        <v>2</v>
      </c>
      <c r="F55" s="14">
        <v>25</v>
      </c>
    </row>
    <row r="56" spans="4:6" x14ac:dyDescent="0.3">
      <c r="D56" s="14" t="s">
        <v>70</v>
      </c>
      <c r="E56" s="14">
        <v>2</v>
      </c>
      <c r="F56" s="14">
        <v>25</v>
      </c>
    </row>
    <row r="57" spans="4:6" x14ac:dyDescent="0.3">
      <c r="D57" s="14" t="s">
        <v>69</v>
      </c>
      <c r="E57" s="14">
        <v>4</v>
      </c>
      <c r="F57" s="14">
        <v>0</v>
      </c>
    </row>
  </sheetData>
  <mergeCells count="5">
    <mergeCell ref="D8:E8"/>
    <mergeCell ref="D15:J15"/>
    <mergeCell ref="L15:P15"/>
    <mergeCell ref="D41:E41"/>
    <mergeCell ref="D47:J4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C740-F029-4BCC-94C7-1B67629496D8}">
  <sheetPr>
    <tabColor theme="9" tint="0.59999389629810485"/>
  </sheetPr>
  <dimension ref="A1:R62"/>
  <sheetViews>
    <sheetView workbookViewId="0">
      <selection activeCell="I48" sqref="I48"/>
    </sheetView>
  </sheetViews>
  <sheetFormatPr defaultRowHeight="14.4" x14ac:dyDescent="0.3"/>
  <cols>
    <col min="4" max="10" width="12.5546875" customWidth="1"/>
  </cols>
  <sheetData>
    <row r="1" spans="1:16" ht="15" thickBot="1" x14ac:dyDescent="0.35">
      <c r="A1" t="s">
        <v>96</v>
      </c>
    </row>
    <row r="2" spans="1:16" ht="15" thickBot="1" x14ac:dyDescent="0.35">
      <c r="G2" s="11" t="s">
        <v>13</v>
      </c>
      <c r="H2" s="10"/>
    </row>
    <row r="3" spans="1:16" x14ac:dyDescent="0.3">
      <c r="G3" s="9" t="s">
        <v>12</v>
      </c>
      <c r="H3" s="9"/>
    </row>
    <row r="4" spans="1:16" ht="15" thickBot="1" x14ac:dyDescent="0.35">
      <c r="G4" s="8" t="s">
        <v>11</v>
      </c>
      <c r="H4" s="8"/>
    </row>
    <row r="5" spans="1:16" ht="15.6" thickTop="1" thickBot="1" x14ac:dyDescent="0.35">
      <c r="G5" s="7" t="s">
        <v>10</v>
      </c>
      <c r="H5" s="7"/>
    </row>
    <row r="6" spans="1:16" ht="15" thickTop="1" x14ac:dyDescent="0.3">
      <c r="G6" s="6" t="s">
        <v>9</v>
      </c>
      <c r="H6" s="5"/>
    </row>
    <row r="7" spans="1:16" ht="15" thickBot="1" x14ac:dyDescent="0.35"/>
    <row r="8" spans="1:16" ht="15" thickBot="1" x14ac:dyDescent="0.35">
      <c r="D8" s="375" t="s">
        <v>8</v>
      </c>
      <c r="E8" s="377"/>
    </row>
    <row r="9" spans="1:16" s="83" customFormat="1" x14ac:dyDescent="0.3"/>
    <row r="10" spans="1:16" s="83" customFormat="1" x14ac:dyDescent="0.3">
      <c r="D10" s="83" t="s">
        <v>95</v>
      </c>
    </row>
    <row r="11" spans="1:16" s="83" customFormat="1" x14ac:dyDescent="0.3">
      <c r="D11" s="83" t="s">
        <v>94</v>
      </c>
    </row>
    <row r="12" spans="1:16" s="83" customFormat="1" x14ac:dyDescent="0.3"/>
    <row r="13" spans="1:16" s="83" customFormat="1" x14ac:dyDescent="0.3"/>
    <row r="14" spans="1:16" s="83" customFormat="1" ht="15" thickBot="1" x14ac:dyDescent="0.35"/>
    <row r="15" spans="1:16" ht="15" thickBot="1" x14ac:dyDescent="0.35">
      <c r="B15" t="s">
        <v>93</v>
      </c>
      <c r="D15" s="375" t="s">
        <v>4</v>
      </c>
      <c r="E15" s="376"/>
      <c r="F15" s="376"/>
      <c r="G15" s="376"/>
      <c r="H15" s="376"/>
      <c r="I15" s="376"/>
      <c r="J15" s="377"/>
      <c r="L15" s="375" t="s">
        <v>3</v>
      </c>
      <c r="M15" s="376"/>
      <c r="N15" s="376"/>
      <c r="O15" s="376"/>
      <c r="P15" s="377"/>
    </row>
    <row r="16" spans="1:16" x14ac:dyDescent="0.3">
      <c r="B16" t="s">
        <v>92</v>
      </c>
      <c r="M16" s="138" t="s">
        <v>656</v>
      </c>
      <c r="N16" s="138"/>
      <c r="O16" s="138"/>
      <c r="P16" s="138"/>
    </row>
    <row r="17" spans="4:17" ht="43.2" x14ac:dyDescent="0.3">
      <c r="D17" s="3" t="s">
        <v>77</v>
      </c>
      <c r="E17" s="3" t="s">
        <v>25</v>
      </c>
      <c r="F17" s="3" t="s">
        <v>91</v>
      </c>
      <c r="G17" s="3" t="s">
        <v>90</v>
      </c>
      <c r="H17" s="3" t="s">
        <v>89</v>
      </c>
      <c r="I17" s="3" t="s">
        <v>87</v>
      </c>
      <c r="J17" s="3" t="s">
        <v>88</v>
      </c>
      <c r="L17" s="3" t="s">
        <v>77</v>
      </c>
      <c r="M17" s="3" t="s">
        <v>653</v>
      </c>
      <c r="N17" s="3" t="s">
        <v>652</v>
      </c>
      <c r="O17" s="3" t="s">
        <v>627</v>
      </c>
      <c r="P17" s="3" t="s">
        <v>651</v>
      </c>
      <c r="Q17" s="3" t="s">
        <v>628</v>
      </c>
    </row>
    <row r="18" spans="4:17" x14ac:dyDescent="0.3">
      <c r="D18" s="14" t="s">
        <v>74</v>
      </c>
      <c r="E18" s="14">
        <v>50</v>
      </c>
      <c r="F18" s="14">
        <v>2</v>
      </c>
      <c r="G18" s="14">
        <v>0.8</v>
      </c>
      <c r="H18" s="14">
        <v>0.8</v>
      </c>
      <c r="I18" s="14">
        <v>1</v>
      </c>
      <c r="J18" s="14">
        <v>6000</v>
      </c>
      <c r="L18" s="14" t="s">
        <v>74</v>
      </c>
      <c r="M18" s="14">
        <f t="shared" ref="M18:M23" si="0">E18*(1-G18)</f>
        <v>9.9999999999999982</v>
      </c>
      <c r="N18" s="14">
        <f t="shared" ref="N18:N23" si="1">M18+F18</f>
        <v>11.999999999999998</v>
      </c>
      <c r="O18" s="14">
        <f>$F$29</f>
        <v>5</v>
      </c>
      <c r="P18" s="14">
        <f t="shared" ref="P18:P23" si="2">N18-O18</f>
        <v>6.9999999999999982</v>
      </c>
      <c r="Q18" s="14">
        <f t="shared" ref="Q18:Q23" si="3">J18/1000</f>
        <v>6</v>
      </c>
    </row>
    <row r="19" spans="4:17" x14ac:dyDescent="0.3">
      <c r="D19" s="14" t="s">
        <v>73</v>
      </c>
      <c r="E19" s="14">
        <v>60</v>
      </c>
      <c r="F19" s="14">
        <v>2</v>
      </c>
      <c r="G19" s="14">
        <v>0.85</v>
      </c>
      <c r="H19" s="14">
        <v>0.9</v>
      </c>
      <c r="I19" s="14">
        <v>1</v>
      </c>
      <c r="J19" s="14">
        <v>7200</v>
      </c>
      <c r="L19" s="14" t="s">
        <v>73</v>
      </c>
      <c r="M19" s="14">
        <f t="shared" si="0"/>
        <v>9.0000000000000018</v>
      </c>
      <c r="N19" s="14">
        <f t="shared" si="1"/>
        <v>11.000000000000002</v>
      </c>
      <c r="O19" s="14">
        <f>$F$29</f>
        <v>5</v>
      </c>
      <c r="P19" s="14">
        <f t="shared" si="2"/>
        <v>6.0000000000000018</v>
      </c>
      <c r="Q19" s="14">
        <f t="shared" si="3"/>
        <v>7.2</v>
      </c>
    </row>
    <row r="20" spans="4:17" x14ac:dyDescent="0.3">
      <c r="D20" s="14" t="s">
        <v>72</v>
      </c>
      <c r="E20" s="14">
        <v>250</v>
      </c>
      <c r="F20" s="14">
        <v>2</v>
      </c>
      <c r="G20" s="14">
        <v>0.6</v>
      </c>
      <c r="H20" s="14">
        <v>0.65</v>
      </c>
      <c r="I20" s="14">
        <v>2</v>
      </c>
      <c r="J20" s="14">
        <v>2400</v>
      </c>
      <c r="L20" s="14" t="s">
        <v>72</v>
      </c>
      <c r="M20" s="14">
        <f t="shared" si="0"/>
        <v>100</v>
      </c>
      <c r="N20" s="14">
        <f t="shared" si="1"/>
        <v>102</v>
      </c>
      <c r="O20" s="14">
        <f>$F$30</f>
        <v>25</v>
      </c>
      <c r="P20" s="14">
        <f t="shared" si="2"/>
        <v>77</v>
      </c>
      <c r="Q20" s="14">
        <f t="shared" si="3"/>
        <v>2.4</v>
      </c>
    </row>
    <row r="21" spans="4:17" x14ac:dyDescent="0.3">
      <c r="D21" s="14" t="s">
        <v>71</v>
      </c>
      <c r="E21" s="14">
        <v>300</v>
      </c>
      <c r="F21" s="14">
        <v>2</v>
      </c>
      <c r="G21" s="14">
        <v>0.6</v>
      </c>
      <c r="H21" s="14">
        <v>0.65</v>
      </c>
      <c r="I21" s="14">
        <v>3</v>
      </c>
      <c r="J21" s="14">
        <v>1800</v>
      </c>
      <c r="L21" s="14" t="s">
        <v>71</v>
      </c>
      <c r="M21" s="14">
        <f t="shared" si="0"/>
        <v>120</v>
      </c>
      <c r="N21" s="14">
        <f t="shared" si="1"/>
        <v>122</v>
      </c>
      <c r="O21" s="14">
        <f>$F$31</f>
        <v>50</v>
      </c>
      <c r="P21" s="14">
        <f t="shared" si="2"/>
        <v>72</v>
      </c>
      <c r="Q21" s="14">
        <f t="shared" si="3"/>
        <v>1.8</v>
      </c>
    </row>
    <row r="22" spans="4:17" x14ac:dyDescent="0.3">
      <c r="D22" s="14" t="s">
        <v>70</v>
      </c>
      <c r="E22" s="14">
        <v>400</v>
      </c>
      <c r="F22" s="14">
        <v>2</v>
      </c>
      <c r="G22" s="14">
        <v>0.4</v>
      </c>
      <c r="H22" s="14">
        <v>0.35</v>
      </c>
      <c r="I22" s="14">
        <v>3</v>
      </c>
      <c r="J22" s="14">
        <v>3600</v>
      </c>
      <c r="L22" s="14" t="s">
        <v>70</v>
      </c>
      <c r="M22" s="14">
        <f t="shared" si="0"/>
        <v>240</v>
      </c>
      <c r="N22" s="14">
        <f t="shared" si="1"/>
        <v>242</v>
      </c>
      <c r="O22" s="14">
        <f>$F$31</f>
        <v>50</v>
      </c>
      <c r="P22" s="14">
        <f t="shared" si="2"/>
        <v>192</v>
      </c>
      <c r="Q22" s="14">
        <f t="shared" si="3"/>
        <v>3.6</v>
      </c>
    </row>
    <row r="23" spans="4:17" x14ac:dyDescent="0.3">
      <c r="D23" s="14" t="s">
        <v>69</v>
      </c>
      <c r="E23" s="14">
        <v>10000</v>
      </c>
      <c r="F23" s="14">
        <v>2</v>
      </c>
      <c r="G23" s="14">
        <v>0.25</v>
      </c>
      <c r="H23" s="14">
        <v>0.25</v>
      </c>
      <c r="I23" s="14">
        <v>4</v>
      </c>
      <c r="J23" s="14">
        <v>36</v>
      </c>
      <c r="L23" s="23" t="s">
        <v>69</v>
      </c>
      <c r="M23" s="23">
        <f t="shared" si="0"/>
        <v>7500</v>
      </c>
      <c r="N23" s="23">
        <f t="shared" si="1"/>
        <v>7502</v>
      </c>
      <c r="O23" s="23">
        <f>N23*$F$32</f>
        <v>2250.6</v>
      </c>
      <c r="P23" s="23">
        <f t="shared" si="2"/>
        <v>5251.4</v>
      </c>
      <c r="Q23" s="23">
        <f t="shared" si="3"/>
        <v>3.5999999999999997E-2</v>
      </c>
    </row>
    <row r="24" spans="4:17" x14ac:dyDescent="0.3">
      <c r="L24" s="14"/>
      <c r="M24" s="14"/>
      <c r="N24" s="137">
        <f>SUMPRODUCT(N18:N23,$Q$18:$Q$23)/12</f>
        <v>146.40600000000003</v>
      </c>
      <c r="O24" s="137">
        <f>SUMPRODUCT(O18:O23,$Q$18:$Q$23)/12</f>
        <v>39.751799999999996</v>
      </c>
      <c r="P24" s="137">
        <f>SUMPRODUCT(P18:P23,$Q$18:$Q$23)/12</f>
        <v>106.65420000000002</v>
      </c>
      <c r="Q24" s="14"/>
    </row>
    <row r="26" spans="4:17" ht="15" thickBot="1" x14ac:dyDescent="0.35"/>
    <row r="27" spans="4:17" x14ac:dyDescent="0.3">
      <c r="M27" s="138" t="s">
        <v>655</v>
      </c>
      <c r="N27" s="138"/>
      <c r="O27" s="138"/>
      <c r="P27" s="138"/>
    </row>
    <row r="28" spans="4:17" ht="30.6" customHeight="1" x14ac:dyDescent="0.3">
      <c r="D28" s="3" t="s">
        <v>87</v>
      </c>
      <c r="E28" s="3" t="s">
        <v>86</v>
      </c>
      <c r="F28" s="3" t="s">
        <v>85</v>
      </c>
      <c r="L28" s="3" t="s">
        <v>77</v>
      </c>
      <c r="M28" s="3" t="s">
        <v>653</v>
      </c>
      <c r="N28" s="3" t="s">
        <v>652</v>
      </c>
      <c r="O28" s="3" t="s">
        <v>627</v>
      </c>
      <c r="P28" s="3" t="s">
        <v>651</v>
      </c>
      <c r="Q28" s="3" t="s">
        <v>628</v>
      </c>
    </row>
    <row r="29" spans="4:17" x14ac:dyDescent="0.3">
      <c r="D29" s="81">
        <v>1</v>
      </c>
      <c r="E29" s="82" t="s">
        <v>84</v>
      </c>
      <c r="F29" s="81">
        <v>5</v>
      </c>
      <c r="L29" s="14" t="s">
        <v>74</v>
      </c>
      <c r="M29" s="14">
        <f t="shared" ref="M29:M34" si="4">E18*(1-H18)</f>
        <v>9.9999999999999982</v>
      </c>
      <c r="N29" s="14">
        <f t="shared" ref="N29:N34" si="5">M29+F18</f>
        <v>11.999999999999998</v>
      </c>
      <c r="O29" s="14">
        <f>$F$29</f>
        <v>5</v>
      </c>
      <c r="P29" s="14">
        <f t="shared" ref="P29:P34" si="6">N29-O29</f>
        <v>6.9999999999999982</v>
      </c>
      <c r="Q29" s="14">
        <f t="shared" ref="Q29:Q34" si="7">J18/1000</f>
        <v>6</v>
      </c>
    </row>
    <row r="30" spans="4:17" x14ac:dyDescent="0.3">
      <c r="D30" s="81">
        <v>2</v>
      </c>
      <c r="E30" s="82" t="s">
        <v>83</v>
      </c>
      <c r="F30" s="81">
        <v>25</v>
      </c>
      <c r="L30" s="14" t="s">
        <v>73</v>
      </c>
      <c r="M30" s="14">
        <f t="shared" si="4"/>
        <v>5.9999999999999982</v>
      </c>
      <c r="N30" s="14">
        <f t="shared" si="5"/>
        <v>7.9999999999999982</v>
      </c>
      <c r="O30" s="14">
        <f>$F$29</f>
        <v>5</v>
      </c>
      <c r="P30" s="14">
        <f t="shared" si="6"/>
        <v>2.9999999999999982</v>
      </c>
      <c r="Q30" s="14">
        <f t="shared" si="7"/>
        <v>7.2</v>
      </c>
    </row>
    <row r="31" spans="4:17" x14ac:dyDescent="0.3">
      <c r="D31" s="81">
        <v>3</v>
      </c>
      <c r="E31" s="82" t="s">
        <v>82</v>
      </c>
      <c r="F31" s="81">
        <v>50</v>
      </c>
      <c r="L31" s="14" t="s">
        <v>72</v>
      </c>
      <c r="M31" s="14">
        <f t="shared" si="4"/>
        <v>87.5</v>
      </c>
      <c r="N31" s="14">
        <f t="shared" si="5"/>
        <v>89.5</v>
      </c>
      <c r="O31" s="14">
        <f>$F$30</f>
        <v>25</v>
      </c>
      <c r="P31" s="14">
        <f t="shared" si="6"/>
        <v>64.5</v>
      </c>
      <c r="Q31" s="14">
        <f t="shared" si="7"/>
        <v>2.4</v>
      </c>
    </row>
    <row r="32" spans="4:17" x14ac:dyDescent="0.3">
      <c r="D32" s="81">
        <v>4</v>
      </c>
      <c r="E32" s="82" t="s">
        <v>19</v>
      </c>
      <c r="F32" s="81">
        <v>0.3</v>
      </c>
      <c r="L32" s="14" t="s">
        <v>71</v>
      </c>
      <c r="M32" s="14">
        <f t="shared" si="4"/>
        <v>105</v>
      </c>
      <c r="N32" s="14">
        <f t="shared" si="5"/>
        <v>107</v>
      </c>
      <c r="O32" s="14">
        <f>$F$31</f>
        <v>50</v>
      </c>
      <c r="P32" s="14">
        <f t="shared" si="6"/>
        <v>57</v>
      </c>
      <c r="Q32" s="14">
        <f t="shared" si="7"/>
        <v>1.8</v>
      </c>
    </row>
    <row r="33" spans="2:18" x14ac:dyDescent="0.3">
      <c r="L33" s="14" t="s">
        <v>70</v>
      </c>
      <c r="M33" s="14">
        <f t="shared" si="4"/>
        <v>260</v>
      </c>
      <c r="N33" s="14">
        <f t="shared" si="5"/>
        <v>262</v>
      </c>
      <c r="O33" s="14">
        <f>$F$31</f>
        <v>50</v>
      </c>
      <c r="P33" s="14">
        <f t="shared" si="6"/>
        <v>212</v>
      </c>
      <c r="Q33" s="14">
        <f t="shared" si="7"/>
        <v>3.6</v>
      </c>
    </row>
    <row r="34" spans="2:18" x14ac:dyDescent="0.3">
      <c r="L34" s="23" t="s">
        <v>69</v>
      </c>
      <c r="M34" s="23">
        <f t="shared" si="4"/>
        <v>7500</v>
      </c>
      <c r="N34" s="23">
        <f t="shared" si="5"/>
        <v>7502</v>
      </c>
      <c r="O34" s="23">
        <f>N34*$F$32</f>
        <v>2250.6</v>
      </c>
      <c r="P34" s="23">
        <f t="shared" si="6"/>
        <v>5251.4</v>
      </c>
      <c r="Q34" s="23">
        <f t="shared" si="7"/>
        <v>3.5999999999999997E-2</v>
      </c>
      <c r="R34" s="26"/>
    </row>
    <row r="35" spans="2:18" x14ac:dyDescent="0.3">
      <c r="L35" s="14"/>
      <c r="M35" s="14"/>
      <c r="N35" s="137">
        <f>SUMPRODUCT(N29:N34,$Q$29:$Q$34)/12</f>
        <v>145.85599999999999</v>
      </c>
      <c r="O35" s="137">
        <f>SUMPRODUCT(O29:O34,$Q$29:$Q$34)/12</f>
        <v>39.751799999999996</v>
      </c>
      <c r="P35" s="137">
        <f>SUMPRODUCT(P29:P34,$Q$29:$Q$34)/12</f>
        <v>106.10419999999999</v>
      </c>
      <c r="Q35" s="14"/>
    </row>
    <row r="38" spans="2:18" x14ac:dyDescent="0.3">
      <c r="N38" s="57">
        <f>(N35-N24)/N24</f>
        <v>-3.7566766389358335E-3</v>
      </c>
    </row>
    <row r="39" spans="2:18" x14ac:dyDescent="0.3">
      <c r="N39" s="5">
        <f>N35-N24</f>
        <v>-0.55000000000003979</v>
      </c>
    </row>
    <row r="40" spans="2:18" s="26" customFormat="1" ht="15" thickBot="1" x14ac:dyDescent="0.35"/>
    <row r="41" spans="2:18" ht="15" thickBot="1" x14ac:dyDescent="0.35">
      <c r="B41" t="s">
        <v>81</v>
      </c>
      <c r="D41" s="375" t="s">
        <v>8</v>
      </c>
      <c r="E41" s="377"/>
    </row>
    <row r="43" spans="2:18" x14ac:dyDescent="0.3">
      <c r="D43" t="s">
        <v>80</v>
      </c>
    </row>
    <row r="44" spans="2:18" x14ac:dyDescent="0.3">
      <c r="D44" t="s">
        <v>79</v>
      </c>
    </row>
    <row r="45" spans="2:18" x14ac:dyDescent="0.3">
      <c r="D45" t="s">
        <v>78</v>
      </c>
    </row>
    <row r="46" spans="2:18" ht="15" thickBot="1" x14ac:dyDescent="0.35"/>
    <row r="47" spans="2:18" ht="15" thickBot="1" x14ac:dyDescent="0.35">
      <c r="D47" s="375" t="s">
        <v>4</v>
      </c>
      <c r="E47" s="376"/>
      <c r="F47" s="376"/>
      <c r="G47" s="376"/>
      <c r="H47" s="376"/>
      <c r="I47" s="376"/>
      <c r="J47" s="377"/>
    </row>
    <row r="49" spans="4:18" ht="15" thickBot="1" x14ac:dyDescent="0.35"/>
    <row r="50" spans="4:18" x14ac:dyDescent="0.3">
      <c r="M50" s="138" t="s">
        <v>654</v>
      </c>
      <c r="N50" s="138"/>
      <c r="O50" s="138"/>
      <c r="P50" s="138"/>
    </row>
    <row r="51" spans="4:18" ht="43.2" x14ac:dyDescent="0.3">
      <c r="D51" s="21" t="s">
        <v>77</v>
      </c>
      <c r="E51" s="21" t="s">
        <v>76</v>
      </c>
      <c r="F51" s="21" t="s">
        <v>75</v>
      </c>
      <c r="K51" t="s">
        <v>87</v>
      </c>
      <c r="L51" s="21" t="s">
        <v>77</v>
      </c>
      <c r="M51" s="21" t="s">
        <v>653</v>
      </c>
      <c r="N51" s="21" t="s">
        <v>652</v>
      </c>
      <c r="O51" s="21" t="s">
        <v>627</v>
      </c>
      <c r="P51" s="21" t="s">
        <v>651</v>
      </c>
      <c r="Q51" s="21" t="s">
        <v>628</v>
      </c>
    </row>
    <row r="52" spans="4:18" x14ac:dyDescent="0.3">
      <c r="D52" s="14" t="s">
        <v>74</v>
      </c>
      <c r="E52" s="14">
        <v>1</v>
      </c>
      <c r="F52" s="14">
        <v>0</v>
      </c>
      <c r="L52" s="14" t="s">
        <v>74</v>
      </c>
      <c r="M52" s="14">
        <f t="shared" ref="M52:M57" si="8">E18*(1-H18)</f>
        <v>9.9999999999999982</v>
      </c>
      <c r="N52" s="14">
        <f t="shared" ref="N52:N57" si="9">M52+F18</f>
        <v>11.999999999999998</v>
      </c>
      <c r="O52" s="14">
        <f>VLOOKUP(E52,$D$29:$F$32,3,0)</f>
        <v>5</v>
      </c>
      <c r="P52" s="14">
        <f t="shared" ref="P52:P57" si="10">N52-O52-F52</f>
        <v>6.9999999999999982</v>
      </c>
      <c r="Q52" s="14">
        <f t="shared" ref="Q52:Q57" si="11">J18/1000</f>
        <v>6</v>
      </c>
    </row>
    <row r="53" spans="4:18" x14ac:dyDescent="0.3">
      <c r="D53" s="14" t="s">
        <v>73</v>
      </c>
      <c r="E53" s="14">
        <v>1</v>
      </c>
      <c r="F53" s="14">
        <v>0</v>
      </c>
      <c r="L53" s="14" t="s">
        <v>73</v>
      </c>
      <c r="M53" s="14">
        <f t="shared" si="8"/>
        <v>5.9999999999999982</v>
      </c>
      <c r="N53" s="14">
        <f t="shared" si="9"/>
        <v>7.9999999999999982</v>
      </c>
      <c r="O53" s="14">
        <f>VLOOKUP(E53,$D$29:$F$32,3,0)</f>
        <v>5</v>
      </c>
      <c r="P53" s="14">
        <f t="shared" si="10"/>
        <v>2.9999999999999982</v>
      </c>
      <c r="Q53" s="14">
        <f t="shared" si="11"/>
        <v>7.2</v>
      </c>
    </row>
    <row r="54" spans="4:18" x14ac:dyDescent="0.3">
      <c r="D54" s="14" t="s">
        <v>72</v>
      </c>
      <c r="E54" s="14">
        <v>2</v>
      </c>
      <c r="F54" s="14">
        <v>25</v>
      </c>
      <c r="L54" s="14" t="s">
        <v>72</v>
      </c>
      <c r="M54" s="14">
        <f t="shared" si="8"/>
        <v>87.5</v>
      </c>
      <c r="N54" s="14">
        <f t="shared" si="9"/>
        <v>89.5</v>
      </c>
      <c r="O54" s="14">
        <f>VLOOKUP(E54,$D$29:$F$32,3,0)</f>
        <v>25</v>
      </c>
      <c r="P54" s="14">
        <f t="shared" si="10"/>
        <v>39.5</v>
      </c>
      <c r="Q54" s="14">
        <f t="shared" si="11"/>
        <v>2.4</v>
      </c>
    </row>
    <row r="55" spans="4:18" x14ac:dyDescent="0.3">
      <c r="D55" s="14" t="s">
        <v>71</v>
      </c>
      <c r="E55" s="14">
        <v>2</v>
      </c>
      <c r="F55" s="14">
        <v>25</v>
      </c>
      <c r="L55" s="14" t="s">
        <v>71</v>
      </c>
      <c r="M55" s="14">
        <f t="shared" si="8"/>
        <v>105</v>
      </c>
      <c r="N55" s="14">
        <f t="shared" si="9"/>
        <v>107</v>
      </c>
      <c r="O55" s="14">
        <f>VLOOKUP(E55,$D$29:$F$32,3,0)</f>
        <v>25</v>
      </c>
      <c r="P55" s="14">
        <f t="shared" si="10"/>
        <v>57</v>
      </c>
      <c r="Q55" s="14">
        <f t="shared" si="11"/>
        <v>1.8</v>
      </c>
    </row>
    <row r="56" spans="4:18" x14ac:dyDescent="0.3">
      <c r="D56" s="14" t="s">
        <v>70</v>
      </c>
      <c r="E56" s="14">
        <v>2</v>
      </c>
      <c r="F56" s="14">
        <v>25</v>
      </c>
      <c r="L56" s="14" t="s">
        <v>70</v>
      </c>
      <c r="M56" s="14">
        <f t="shared" si="8"/>
        <v>260</v>
      </c>
      <c r="N56" s="14">
        <f t="shared" si="9"/>
        <v>262</v>
      </c>
      <c r="O56" s="14">
        <f>VLOOKUP(E56,$D$29:$F$32,3,0)</f>
        <v>25</v>
      </c>
      <c r="P56" s="14">
        <f t="shared" si="10"/>
        <v>212</v>
      </c>
      <c r="Q56" s="14">
        <f t="shared" si="11"/>
        <v>3.6</v>
      </c>
    </row>
    <row r="57" spans="4:18" x14ac:dyDescent="0.3">
      <c r="D57" s="14" t="s">
        <v>69</v>
      </c>
      <c r="E57" s="14">
        <v>4</v>
      </c>
      <c r="F57" s="14">
        <v>0</v>
      </c>
      <c r="L57" s="23" t="s">
        <v>69</v>
      </c>
      <c r="M57" s="23">
        <f t="shared" si="8"/>
        <v>7500</v>
      </c>
      <c r="N57" s="23">
        <f t="shared" si="9"/>
        <v>7502</v>
      </c>
      <c r="O57" s="23">
        <f>N57*$F$32</f>
        <v>2250.6</v>
      </c>
      <c r="P57" s="23">
        <f t="shared" si="10"/>
        <v>5251.4</v>
      </c>
      <c r="Q57" s="23">
        <f t="shared" si="11"/>
        <v>3.5999999999999997E-2</v>
      </c>
      <c r="R57" s="26"/>
    </row>
    <row r="58" spans="4:18" x14ac:dyDescent="0.3">
      <c r="N58" s="137">
        <f>SUMPRODUCT(N52:N57,$Q$52:$Q$57)/12</f>
        <v>145.85599999999999</v>
      </c>
      <c r="O58" s="137">
        <f>SUMPRODUCT(O52:O57,$Q$29:$Q$34)/12</f>
        <v>28.501799999999999</v>
      </c>
      <c r="P58" s="137">
        <f>SUMPRODUCT(P52:P57,$Q$52:$Q$57)/12</f>
        <v>101.10419999999999</v>
      </c>
    </row>
    <row r="61" spans="4:18" x14ac:dyDescent="0.3">
      <c r="N61" s="57">
        <f>(N58-N35)/N35</f>
        <v>0</v>
      </c>
      <c r="O61" s="57">
        <f>(O58-O35)/O35</f>
        <v>-0.28300605255611061</v>
      </c>
      <c r="P61" s="57">
        <f>(P58-P35)/P35</f>
        <v>-4.7123488042886151E-2</v>
      </c>
    </row>
    <row r="62" spans="4:18" x14ac:dyDescent="0.3">
      <c r="N62" s="111">
        <f>N58-N35</f>
        <v>0</v>
      </c>
      <c r="O62" s="111">
        <f>O58-O35</f>
        <v>-11.249999999999996</v>
      </c>
      <c r="P62" s="5">
        <f>P58-P35</f>
        <v>-5</v>
      </c>
    </row>
  </sheetData>
  <mergeCells count="5">
    <mergeCell ref="D8:E8"/>
    <mergeCell ref="D15:J15"/>
    <mergeCell ref="L15:P15"/>
    <mergeCell ref="D41:E41"/>
    <mergeCell ref="D47:J47"/>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00982-3785-4A6B-8AB9-4C206FDB2CB4}">
  <sheetPr>
    <tabColor theme="5" tint="0.39997558519241921"/>
  </sheetPr>
  <dimension ref="A1:M84"/>
  <sheetViews>
    <sheetView workbookViewId="0">
      <selection activeCell="B5" sqref="B5"/>
    </sheetView>
  </sheetViews>
  <sheetFormatPr defaultRowHeight="14.4" x14ac:dyDescent="0.3"/>
  <cols>
    <col min="1" max="1" width="11.88671875" customWidth="1"/>
    <col min="2" max="2" width="17.5546875" customWidth="1"/>
    <col min="3" max="3" width="22" bestFit="1" customWidth="1"/>
    <col min="4" max="7" width="15.21875" customWidth="1"/>
    <col min="12" max="13" width="11" customWidth="1"/>
    <col min="14" max="14" width="12.109375" customWidth="1"/>
  </cols>
  <sheetData>
    <row r="1" spans="1:8" ht="15" thickBot="1" x14ac:dyDescent="0.35">
      <c r="A1" t="s">
        <v>146</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21" spans="1:13" ht="15" thickBot="1" x14ac:dyDescent="0.35"/>
    <row r="22" spans="1:13" ht="15" thickBot="1" x14ac:dyDescent="0.35">
      <c r="C22" s="375" t="s">
        <v>4</v>
      </c>
      <c r="D22" s="376"/>
      <c r="E22" s="376"/>
      <c r="F22" s="376"/>
      <c r="G22" s="377"/>
      <c r="I22" s="375" t="s">
        <v>3</v>
      </c>
      <c r="J22" s="376"/>
      <c r="K22" s="376"/>
      <c r="L22" s="376"/>
      <c r="M22" s="377"/>
    </row>
    <row r="24" spans="1:13" s="26" customFormat="1" x14ac:dyDescent="0.3">
      <c r="A24" s="26" t="s">
        <v>145</v>
      </c>
    </row>
    <row r="25" spans="1:13" x14ac:dyDescent="0.3">
      <c r="D25" s="386" t="s">
        <v>144</v>
      </c>
      <c r="E25" s="393"/>
      <c r="F25" s="386" t="s">
        <v>143</v>
      </c>
      <c r="G25" s="386"/>
    </row>
    <row r="26" spans="1:13" x14ac:dyDescent="0.3">
      <c r="B26" s="26" t="s">
        <v>142</v>
      </c>
      <c r="C26" s="26" t="s">
        <v>141</v>
      </c>
      <c r="D26" s="26" t="s">
        <v>140</v>
      </c>
      <c r="E26" s="26" t="s">
        <v>139</v>
      </c>
      <c r="F26" s="91" t="s">
        <v>140</v>
      </c>
      <c r="G26" s="26" t="s">
        <v>139</v>
      </c>
    </row>
    <row r="27" spans="1:13" x14ac:dyDescent="0.3">
      <c r="B27" t="s">
        <v>129</v>
      </c>
      <c r="C27" t="s">
        <v>138</v>
      </c>
      <c r="D27" s="90">
        <v>100</v>
      </c>
      <c r="E27" s="88">
        <v>4000</v>
      </c>
      <c r="F27" s="89">
        <v>110</v>
      </c>
      <c r="G27" s="88">
        <v>4100</v>
      </c>
    </row>
    <row r="28" spans="1:13" x14ac:dyDescent="0.3">
      <c r="B28" t="s">
        <v>129</v>
      </c>
      <c r="C28" t="s">
        <v>137</v>
      </c>
      <c r="D28" s="90">
        <v>80</v>
      </c>
      <c r="E28" s="88">
        <v>9000</v>
      </c>
      <c r="F28" s="89">
        <v>85</v>
      </c>
      <c r="G28" s="88">
        <v>9100</v>
      </c>
    </row>
    <row r="29" spans="1:13" x14ac:dyDescent="0.3">
      <c r="B29" t="s">
        <v>129</v>
      </c>
      <c r="C29" t="s">
        <v>136</v>
      </c>
      <c r="D29" s="90">
        <v>25</v>
      </c>
      <c r="E29" s="88">
        <v>3500</v>
      </c>
      <c r="F29" s="89">
        <v>35</v>
      </c>
      <c r="G29" s="88">
        <v>3600</v>
      </c>
    </row>
    <row r="30" spans="1:13" x14ac:dyDescent="0.3">
      <c r="B30" t="s">
        <v>129</v>
      </c>
      <c r="C30" t="s">
        <v>135</v>
      </c>
      <c r="D30" s="90">
        <v>20</v>
      </c>
      <c r="E30" s="88">
        <v>1000</v>
      </c>
      <c r="F30" s="89">
        <v>25</v>
      </c>
      <c r="G30" s="88">
        <v>1050</v>
      </c>
    </row>
    <row r="31" spans="1:13" x14ac:dyDescent="0.3">
      <c r="B31" t="s">
        <v>129</v>
      </c>
      <c r="C31" t="s">
        <v>134</v>
      </c>
      <c r="D31" s="90">
        <v>20</v>
      </c>
      <c r="E31" s="88">
        <v>600</v>
      </c>
      <c r="F31" s="89">
        <v>25</v>
      </c>
      <c r="G31" s="88">
        <v>620</v>
      </c>
    </row>
    <row r="32" spans="1:13" x14ac:dyDescent="0.3">
      <c r="B32" t="s">
        <v>129</v>
      </c>
      <c r="C32" t="s">
        <v>133</v>
      </c>
      <c r="D32" s="90">
        <v>150</v>
      </c>
      <c r="E32" s="88">
        <v>1200</v>
      </c>
      <c r="F32" s="89">
        <v>155</v>
      </c>
      <c r="G32" s="88">
        <v>1220</v>
      </c>
    </row>
    <row r="33" spans="2:7" x14ac:dyDescent="0.3">
      <c r="B33" t="s">
        <v>129</v>
      </c>
      <c r="C33" t="s">
        <v>132</v>
      </c>
      <c r="D33" s="90">
        <v>300</v>
      </c>
      <c r="E33" s="88">
        <v>600</v>
      </c>
      <c r="F33" s="89">
        <v>195</v>
      </c>
      <c r="G33" s="88">
        <v>610</v>
      </c>
    </row>
    <row r="34" spans="2:7" x14ac:dyDescent="0.3">
      <c r="B34" t="s">
        <v>129</v>
      </c>
      <c r="C34" t="s">
        <v>131</v>
      </c>
      <c r="D34" s="90">
        <v>350</v>
      </c>
      <c r="E34" s="88">
        <v>200</v>
      </c>
      <c r="F34" s="89">
        <v>355</v>
      </c>
      <c r="G34" s="88">
        <v>220</v>
      </c>
    </row>
    <row r="35" spans="2:7" x14ac:dyDescent="0.3">
      <c r="B35" t="s">
        <v>129</v>
      </c>
      <c r="C35" t="s">
        <v>130</v>
      </c>
      <c r="D35" s="90">
        <v>120</v>
      </c>
      <c r="E35" s="88">
        <v>3400</v>
      </c>
      <c r="F35" s="89">
        <v>125</v>
      </c>
      <c r="G35" s="88">
        <v>3450</v>
      </c>
    </row>
    <row r="36" spans="2:7" x14ac:dyDescent="0.3">
      <c r="B36" t="s">
        <v>129</v>
      </c>
      <c r="C36" t="s">
        <v>128</v>
      </c>
      <c r="D36" s="90">
        <v>500</v>
      </c>
      <c r="E36" s="88">
        <v>250</v>
      </c>
      <c r="F36" s="89">
        <v>520</v>
      </c>
      <c r="G36" s="88">
        <v>260</v>
      </c>
    </row>
    <row r="37" spans="2:7" x14ac:dyDescent="0.3">
      <c r="B37" t="s">
        <v>125</v>
      </c>
      <c r="C37" t="s">
        <v>127</v>
      </c>
      <c r="D37" s="90">
        <v>5300</v>
      </c>
      <c r="E37" s="88">
        <v>60</v>
      </c>
      <c r="F37" s="89">
        <v>5350</v>
      </c>
      <c r="G37" s="88">
        <v>70</v>
      </c>
    </row>
    <row r="38" spans="2:7" x14ac:dyDescent="0.3">
      <c r="B38" t="s">
        <v>125</v>
      </c>
      <c r="C38" t="s">
        <v>126</v>
      </c>
      <c r="D38" s="90">
        <v>2800</v>
      </c>
      <c r="E38" s="88">
        <v>80</v>
      </c>
      <c r="F38" s="89">
        <v>2805</v>
      </c>
      <c r="G38" s="88">
        <v>85</v>
      </c>
    </row>
    <row r="39" spans="2:7" x14ac:dyDescent="0.3">
      <c r="B39" t="s">
        <v>125</v>
      </c>
      <c r="C39" t="s">
        <v>120</v>
      </c>
      <c r="D39" s="90">
        <v>170</v>
      </c>
      <c r="E39" s="88">
        <v>300</v>
      </c>
      <c r="F39" s="89">
        <v>175</v>
      </c>
      <c r="G39" s="88">
        <v>320</v>
      </c>
    </row>
    <row r="40" spans="2:7" x14ac:dyDescent="0.3">
      <c r="B40" t="s">
        <v>121</v>
      </c>
      <c r="C40" t="s">
        <v>124</v>
      </c>
      <c r="D40" s="90">
        <v>15</v>
      </c>
      <c r="E40" s="88">
        <v>1400</v>
      </c>
      <c r="F40" s="89">
        <v>20</v>
      </c>
      <c r="G40" s="88">
        <v>1410</v>
      </c>
    </row>
    <row r="41" spans="2:7" x14ac:dyDescent="0.3">
      <c r="B41" t="s">
        <v>121</v>
      </c>
      <c r="C41" t="s">
        <v>123</v>
      </c>
      <c r="D41" s="90">
        <v>7000</v>
      </c>
      <c r="E41" s="88">
        <v>75</v>
      </c>
      <c r="F41" s="89">
        <v>7005</v>
      </c>
      <c r="G41" s="88">
        <v>80</v>
      </c>
    </row>
    <row r="42" spans="2:7" x14ac:dyDescent="0.3">
      <c r="B42" t="s">
        <v>121</v>
      </c>
      <c r="C42" t="s">
        <v>122</v>
      </c>
      <c r="D42" s="90">
        <v>700</v>
      </c>
      <c r="E42" s="88">
        <v>115</v>
      </c>
      <c r="F42" s="89">
        <v>705</v>
      </c>
      <c r="G42" s="88">
        <v>120</v>
      </c>
    </row>
    <row r="43" spans="2:7" x14ac:dyDescent="0.3">
      <c r="B43" t="s">
        <v>121</v>
      </c>
      <c r="C43" t="s">
        <v>120</v>
      </c>
      <c r="D43" s="90">
        <v>120</v>
      </c>
      <c r="E43" s="88">
        <v>200</v>
      </c>
      <c r="F43" s="89">
        <v>125</v>
      </c>
      <c r="G43" s="88">
        <v>200</v>
      </c>
    </row>
    <row r="50" spans="1:13" s="26" customFormat="1" x14ac:dyDescent="0.3">
      <c r="A50" s="26" t="s">
        <v>119</v>
      </c>
    </row>
    <row r="51" spans="1:13" ht="15" thickBot="1" x14ac:dyDescent="0.35"/>
    <row r="52" spans="1:13" ht="15" thickBot="1" x14ac:dyDescent="0.35">
      <c r="C52" s="375" t="s">
        <v>4</v>
      </c>
      <c r="D52" s="376"/>
      <c r="E52" s="376"/>
      <c r="F52" s="376"/>
      <c r="G52" s="377"/>
      <c r="I52" s="375" t="s">
        <v>3</v>
      </c>
      <c r="J52" s="376"/>
      <c r="K52" s="376"/>
      <c r="L52" s="376"/>
      <c r="M52" s="377"/>
    </row>
    <row r="54" spans="1:13" x14ac:dyDescent="0.3">
      <c r="D54" s="394" t="s">
        <v>118</v>
      </c>
      <c r="E54" s="394"/>
      <c r="F54" s="394"/>
    </row>
    <row r="55" spans="1:13" x14ac:dyDescent="0.3">
      <c r="D55">
        <v>2020</v>
      </c>
      <c r="E55">
        <v>2021</v>
      </c>
      <c r="F55" t="s">
        <v>117</v>
      </c>
    </row>
    <row r="56" spans="1:13" x14ac:dyDescent="0.3">
      <c r="C56" s="84" t="s">
        <v>116</v>
      </c>
      <c r="D56">
        <v>252</v>
      </c>
      <c r="E56">
        <v>251</v>
      </c>
      <c r="F56" s="87">
        <v>1</v>
      </c>
    </row>
    <row r="57" spans="1:13" x14ac:dyDescent="0.3">
      <c r="C57" s="84" t="s">
        <v>115</v>
      </c>
      <c r="D57">
        <v>114</v>
      </c>
      <c r="E57">
        <v>114</v>
      </c>
      <c r="F57">
        <v>0.45</v>
      </c>
    </row>
    <row r="59" spans="1:13" x14ac:dyDescent="0.3">
      <c r="B59" t="s">
        <v>105</v>
      </c>
      <c r="C59" t="s">
        <v>114</v>
      </c>
    </row>
    <row r="60" spans="1:13" x14ac:dyDescent="0.3">
      <c r="B60" s="84" t="s">
        <v>113</v>
      </c>
      <c r="C60" s="57">
        <v>5.0000000000000001E-3</v>
      </c>
      <c r="D60" s="86"/>
    </row>
    <row r="61" spans="1:13" x14ac:dyDescent="0.3">
      <c r="B61" s="84" t="s">
        <v>112</v>
      </c>
      <c r="C61" s="57">
        <v>1E-3</v>
      </c>
      <c r="D61" s="86"/>
    </row>
    <row r="62" spans="1:13" x14ac:dyDescent="0.3">
      <c r="B62" s="84" t="s">
        <v>111</v>
      </c>
      <c r="C62" s="57">
        <v>-2E-3</v>
      </c>
      <c r="D62" s="86"/>
    </row>
    <row r="63" spans="1:13" x14ac:dyDescent="0.3">
      <c r="B63" s="84" t="s">
        <v>110</v>
      </c>
      <c r="C63" s="57">
        <v>3.0000000000000001E-3</v>
      </c>
      <c r="D63" s="86"/>
    </row>
    <row r="64" spans="1:13" x14ac:dyDescent="0.3">
      <c r="B64" s="84" t="s">
        <v>109</v>
      </c>
      <c r="C64" s="57">
        <v>5.0000000000000001E-3</v>
      </c>
      <c r="D64" s="86"/>
    </row>
    <row r="65" spans="1:13" x14ac:dyDescent="0.3">
      <c r="B65" s="84" t="s">
        <v>97</v>
      </c>
      <c r="C65" s="57">
        <v>5.0000000000000001E-3</v>
      </c>
      <c r="D65" s="86"/>
    </row>
    <row r="66" spans="1:13" x14ac:dyDescent="0.3">
      <c r="B66" s="84" t="s">
        <v>108</v>
      </c>
      <c r="C66" s="57">
        <v>3.0000000000000001E-3</v>
      </c>
      <c r="D66" s="86"/>
    </row>
    <row r="67" spans="1:13" x14ac:dyDescent="0.3">
      <c r="B67" s="84" t="s">
        <v>107</v>
      </c>
      <c r="C67" s="57">
        <v>0.02</v>
      </c>
      <c r="D67" s="86"/>
    </row>
    <row r="68" spans="1:13" x14ac:dyDescent="0.3">
      <c r="D68" s="86"/>
    </row>
    <row r="69" spans="1:13" x14ac:dyDescent="0.3">
      <c r="E69" s="85"/>
    </row>
    <row r="72" spans="1:13" s="26" customFormat="1" x14ac:dyDescent="0.3">
      <c r="A72" s="26" t="s">
        <v>106</v>
      </c>
    </row>
    <row r="73" spans="1:13" ht="15" thickBot="1" x14ac:dyDescent="0.35"/>
    <row r="74" spans="1:13" ht="15" thickBot="1" x14ac:dyDescent="0.35">
      <c r="C74" s="375" t="s">
        <v>4</v>
      </c>
      <c r="D74" s="376"/>
      <c r="E74" s="376"/>
      <c r="F74" s="376"/>
      <c r="G74" s="377"/>
      <c r="I74" s="375" t="s">
        <v>3</v>
      </c>
      <c r="J74" s="376"/>
      <c r="K74" s="376"/>
      <c r="L74" s="376"/>
      <c r="M74" s="377"/>
    </row>
    <row r="76" spans="1:13" x14ac:dyDescent="0.3">
      <c r="B76" s="84" t="s">
        <v>105</v>
      </c>
      <c r="C76" t="s">
        <v>104</v>
      </c>
    </row>
    <row r="77" spans="1:13" x14ac:dyDescent="0.3">
      <c r="B77" s="84" t="s">
        <v>103</v>
      </c>
      <c r="C77" s="57">
        <v>3.4000000000000002E-2</v>
      </c>
    </row>
    <row r="78" spans="1:13" x14ac:dyDescent="0.3">
      <c r="B78" s="84" t="s">
        <v>102</v>
      </c>
      <c r="C78" s="57">
        <v>0.03</v>
      </c>
    </row>
    <row r="79" spans="1:13" x14ac:dyDescent="0.3">
      <c r="B79" s="84" t="s">
        <v>101</v>
      </c>
      <c r="C79" s="57">
        <v>0.03</v>
      </c>
    </row>
    <row r="80" spans="1:13" x14ac:dyDescent="0.3">
      <c r="B80" s="84" t="s">
        <v>100</v>
      </c>
      <c r="C80" s="57">
        <v>5.0000000000000001E-3</v>
      </c>
    </row>
    <row r="81" spans="2:3" x14ac:dyDescent="0.3">
      <c r="B81" s="84" t="s">
        <v>99</v>
      </c>
      <c r="C81" s="57">
        <v>5.0000000000000001E-3</v>
      </c>
    </row>
    <row r="82" spans="2:3" x14ac:dyDescent="0.3">
      <c r="B82" s="84" t="s">
        <v>98</v>
      </c>
      <c r="C82" s="57">
        <v>2E-3</v>
      </c>
    </row>
    <row r="83" spans="2:3" x14ac:dyDescent="0.3">
      <c r="B83" s="84" t="s">
        <v>97</v>
      </c>
      <c r="C83" s="57">
        <v>6.0000000000000001E-3</v>
      </c>
    </row>
    <row r="84" spans="2:3" x14ac:dyDescent="0.3">
      <c r="B84" s="84"/>
      <c r="C84" s="57"/>
    </row>
  </sheetData>
  <mergeCells count="10">
    <mergeCell ref="C74:G74"/>
    <mergeCell ref="I74:M74"/>
    <mergeCell ref="D25:E25"/>
    <mergeCell ref="F25:G25"/>
    <mergeCell ref="C10:F10"/>
    <mergeCell ref="C22:G22"/>
    <mergeCell ref="I22:M22"/>
    <mergeCell ref="C52:G52"/>
    <mergeCell ref="I52:M52"/>
    <mergeCell ref="D54:F54"/>
  </mergeCells>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B7D12-3B8E-4EDF-8A69-2772FE08618F}">
  <sheetPr>
    <tabColor theme="9" tint="0.59999389629810485"/>
  </sheetPr>
  <dimension ref="A1:V85"/>
  <sheetViews>
    <sheetView workbookViewId="0">
      <selection activeCell="I48" sqref="I48"/>
    </sheetView>
  </sheetViews>
  <sheetFormatPr defaultRowHeight="14.4" x14ac:dyDescent="0.3"/>
  <cols>
    <col min="1" max="1" width="11.88671875" customWidth="1"/>
    <col min="2" max="2" width="17.5546875" customWidth="1"/>
    <col min="3" max="3" width="22" bestFit="1" customWidth="1"/>
    <col min="4" max="7" width="15.21875" customWidth="1"/>
    <col min="12" max="13" width="11" customWidth="1"/>
    <col min="14" max="14" width="12.109375" customWidth="1"/>
  </cols>
  <sheetData>
    <row r="1" spans="1:8" ht="15" thickBot="1" x14ac:dyDescent="0.35">
      <c r="A1" t="s">
        <v>146</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21" spans="1:22" ht="15" thickBot="1" x14ac:dyDescent="0.35"/>
    <row r="22" spans="1:22" ht="15" thickBot="1" x14ac:dyDescent="0.35">
      <c r="C22" s="375" t="s">
        <v>4</v>
      </c>
      <c r="D22" s="376"/>
      <c r="E22" s="376"/>
      <c r="F22" s="376"/>
      <c r="G22" s="377"/>
      <c r="I22" s="375" t="s">
        <v>3</v>
      </c>
      <c r="J22" s="376"/>
      <c r="K22" s="376"/>
      <c r="L22" s="376"/>
      <c r="M22" s="377"/>
    </row>
    <row r="24" spans="1:22" s="26" customFormat="1" x14ac:dyDescent="0.3">
      <c r="A24" s="26" t="s">
        <v>145</v>
      </c>
    </row>
    <row r="25" spans="1:22" x14ac:dyDescent="0.3">
      <c r="D25" s="386" t="s">
        <v>144</v>
      </c>
      <c r="E25" s="393"/>
      <c r="F25" s="386" t="s">
        <v>143</v>
      </c>
      <c r="G25" s="386"/>
      <c r="I25">
        <v>2020</v>
      </c>
      <c r="J25">
        <v>2021</v>
      </c>
      <c r="L25">
        <v>2020</v>
      </c>
      <c r="M25">
        <v>2021</v>
      </c>
    </row>
    <row r="26" spans="1:22" x14ac:dyDescent="0.3">
      <c r="B26" s="26" t="s">
        <v>142</v>
      </c>
      <c r="C26" s="26" t="s">
        <v>141</v>
      </c>
      <c r="D26" s="26" t="s">
        <v>140</v>
      </c>
      <c r="E26" s="26" t="s">
        <v>139</v>
      </c>
      <c r="F26" s="91" t="s">
        <v>140</v>
      </c>
      <c r="G26" s="26" t="s">
        <v>139</v>
      </c>
      <c r="I26" t="s">
        <v>684</v>
      </c>
      <c r="J26" t="s">
        <v>684</v>
      </c>
      <c r="L26" t="s">
        <v>678</v>
      </c>
      <c r="M26" t="s">
        <v>678</v>
      </c>
      <c r="N26" s="9" t="s">
        <v>683</v>
      </c>
      <c r="O26" s="9"/>
      <c r="P26" s="9"/>
    </row>
    <row r="27" spans="1:22" x14ac:dyDescent="0.3">
      <c r="B27" t="s">
        <v>129</v>
      </c>
      <c r="C27" t="s">
        <v>138</v>
      </c>
      <c r="D27" s="90">
        <v>100</v>
      </c>
      <c r="E27" s="88">
        <v>4000</v>
      </c>
      <c r="F27" s="89">
        <v>110</v>
      </c>
      <c r="G27" s="88">
        <v>4100</v>
      </c>
      <c r="I27" s="57">
        <f t="shared" ref="I27:I43" si="0">D27/SUM($D$27:$D$43)</f>
        <v>5.6274620146314009E-3</v>
      </c>
      <c r="J27" s="57">
        <f t="shared" ref="J27:J43" si="1">F27/SUM($F$27:$F$43)</f>
        <v>6.1745719898961549E-3</v>
      </c>
      <c r="L27" s="109">
        <f>SUMPRODUCT(E27:E43,I27:I43)</f>
        <v>193.92234102419806</v>
      </c>
      <c r="M27" s="109">
        <f>SUMPRODUCT(G27:G43,I27:I43)</f>
        <v>202.6420934158694</v>
      </c>
    </row>
    <row r="28" spans="1:22" x14ac:dyDescent="0.3">
      <c r="B28" t="s">
        <v>129</v>
      </c>
      <c r="C28" t="s">
        <v>137</v>
      </c>
      <c r="D28" s="90">
        <v>80</v>
      </c>
      <c r="E28" s="88">
        <v>9000</v>
      </c>
      <c r="F28" s="89">
        <v>85</v>
      </c>
      <c r="G28" s="88">
        <v>9100</v>
      </c>
      <c r="I28" s="57">
        <f t="shared" si="0"/>
        <v>4.5019696117051212E-3</v>
      </c>
      <c r="J28" s="57">
        <f t="shared" si="1"/>
        <v>4.7712601740106655E-3</v>
      </c>
      <c r="M28" s="146">
        <f>M27/L27-1</f>
        <v>4.4965177016831115E-2</v>
      </c>
      <c r="N28" s="9" t="s">
        <v>682</v>
      </c>
      <c r="O28" s="9"/>
      <c r="P28" s="9"/>
      <c r="Q28" s="9"/>
      <c r="R28" s="9"/>
      <c r="S28" s="9"/>
      <c r="T28" s="9"/>
      <c r="U28" s="9"/>
    </row>
    <row r="29" spans="1:22" x14ac:dyDescent="0.3">
      <c r="B29" t="s">
        <v>129</v>
      </c>
      <c r="C29" t="s">
        <v>136</v>
      </c>
      <c r="D29" s="90">
        <v>25</v>
      </c>
      <c r="E29" s="88">
        <v>3500</v>
      </c>
      <c r="F29" s="89">
        <v>35</v>
      </c>
      <c r="G29" s="88">
        <v>3600</v>
      </c>
      <c r="I29" s="57">
        <f t="shared" si="0"/>
        <v>1.4068655036578502E-3</v>
      </c>
      <c r="J29" s="57">
        <f t="shared" si="1"/>
        <v>1.9646365422396855E-3</v>
      </c>
    </row>
    <row r="30" spans="1:22" x14ac:dyDescent="0.3">
      <c r="B30" t="s">
        <v>129</v>
      </c>
      <c r="C30" t="s">
        <v>135</v>
      </c>
      <c r="D30" s="90">
        <v>20</v>
      </c>
      <c r="E30" s="88">
        <v>1000</v>
      </c>
      <c r="F30" s="89">
        <v>25</v>
      </c>
      <c r="G30" s="88">
        <v>1050</v>
      </c>
      <c r="I30" s="57">
        <f t="shared" si="0"/>
        <v>1.1254924029262803E-3</v>
      </c>
      <c r="J30" s="57">
        <f t="shared" si="1"/>
        <v>1.4033118158854898E-3</v>
      </c>
      <c r="L30">
        <v>2020</v>
      </c>
      <c r="M30">
        <v>2021</v>
      </c>
    </row>
    <row r="31" spans="1:22" x14ac:dyDescent="0.3">
      <c r="B31" t="s">
        <v>129</v>
      </c>
      <c r="C31" t="s">
        <v>134</v>
      </c>
      <c r="D31" s="90">
        <v>20</v>
      </c>
      <c r="E31" s="88">
        <v>600</v>
      </c>
      <c r="F31" s="89">
        <v>25</v>
      </c>
      <c r="G31" s="88">
        <v>620</v>
      </c>
      <c r="I31" s="57">
        <f t="shared" si="0"/>
        <v>1.1254924029262803E-3</v>
      </c>
      <c r="J31" s="57">
        <f t="shared" si="1"/>
        <v>1.4033118158854898E-3</v>
      </c>
      <c r="L31" t="s">
        <v>681</v>
      </c>
      <c r="M31" t="s">
        <v>681</v>
      </c>
    </row>
    <row r="32" spans="1:22" x14ac:dyDescent="0.3">
      <c r="B32" t="s">
        <v>129</v>
      </c>
      <c r="C32" t="s">
        <v>133</v>
      </c>
      <c r="D32" s="90">
        <v>150</v>
      </c>
      <c r="E32" s="88">
        <v>1200</v>
      </c>
      <c r="F32" s="89">
        <v>155</v>
      </c>
      <c r="G32" s="88">
        <v>1220</v>
      </c>
      <c r="I32" s="57">
        <f t="shared" si="0"/>
        <v>8.4411930219471017E-3</v>
      </c>
      <c r="J32" s="57">
        <f t="shared" si="1"/>
        <v>8.7005332584900365E-3</v>
      </c>
      <c r="L32" s="109">
        <f>SUMPRODUCT(E27:E43,I27:I43)</f>
        <v>193.92234102419806</v>
      </c>
      <c r="M32" s="109">
        <f>SUMPRODUCT(E27:E43,J27:J43)</f>
        <v>199.48638787538593</v>
      </c>
      <c r="N32" s="9" t="s">
        <v>680</v>
      </c>
      <c r="O32" s="9"/>
      <c r="P32" s="9"/>
      <c r="Q32" s="9"/>
      <c r="R32" s="9"/>
      <c r="S32" s="9"/>
      <c r="T32" s="9"/>
      <c r="U32" s="9"/>
      <c r="V32" s="9"/>
    </row>
    <row r="33" spans="2:21" x14ac:dyDescent="0.3">
      <c r="B33" t="s">
        <v>129</v>
      </c>
      <c r="C33" t="s">
        <v>132</v>
      </c>
      <c r="D33" s="90">
        <v>300</v>
      </c>
      <c r="E33" s="88">
        <v>600</v>
      </c>
      <c r="F33" s="89">
        <v>195</v>
      </c>
      <c r="G33" s="88">
        <v>610</v>
      </c>
      <c r="I33" s="57">
        <f t="shared" si="0"/>
        <v>1.6882386043894203E-2</v>
      </c>
      <c r="J33" s="57">
        <f t="shared" si="1"/>
        <v>1.0945832163906819E-2</v>
      </c>
      <c r="M33" s="146">
        <f>M32/L32-1</f>
        <v>2.8692139450263721E-2</v>
      </c>
      <c r="N33" s="9" t="s">
        <v>679</v>
      </c>
      <c r="O33" s="9"/>
      <c r="P33" s="9"/>
    </row>
    <row r="34" spans="2:21" x14ac:dyDescent="0.3">
      <c r="B34" t="s">
        <v>129</v>
      </c>
      <c r="C34" t="s">
        <v>131</v>
      </c>
      <c r="D34" s="90">
        <v>350</v>
      </c>
      <c r="E34" s="88">
        <v>200</v>
      </c>
      <c r="F34" s="89">
        <v>355</v>
      </c>
      <c r="G34" s="88">
        <v>220</v>
      </c>
      <c r="I34" s="57">
        <f t="shared" si="0"/>
        <v>1.9696117051209903E-2</v>
      </c>
      <c r="J34" s="57">
        <f t="shared" si="1"/>
        <v>1.9927027785573953E-2</v>
      </c>
    </row>
    <row r="35" spans="2:21" x14ac:dyDescent="0.3">
      <c r="B35" t="s">
        <v>129</v>
      </c>
      <c r="C35" t="s">
        <v>130</v>
      </c>
      <c r="D35" s="90">
        <v>120</v>
      </c>
      <c r="E35" s="88">
        <v>3400</v>
      </c>
      <c r="F35" s="89">
        <v>125</v>
      </c>
      <c r="G35" s="88">
        <v>3450</v>
      </c>
      <c r="I35" s="57">
        <f t="shared" si="0"/>
        <v>6.7529544175576814E-3</v>
      </c>
      <c r="J35" s="57">
        <f t="shared" si="1"/>
        <v>7.0165590794274485E-3</v>
      </c>
    </row>
    <row r="36" spans="2:21" x14ac:dyDescent="0.3">
      <c r="B36" t="s">
        <v>129</v>
      </c>
      <c r="C36" t="s">
        <v>128</v>
      </c>
      <c r="D36" s="90">
        <v>500</v>
      </c>
      <c r="E36" s="88">
        <v>250</v>
      </c>
      <c r="F36" s="89">
        <v>520</v>
      </c>
      <c r="G36" s="88">
        <v>260</v>
      </c>
      <c r="I36" s="57">
        <f t="shared" si="0"/>
        <v>2.8137310073157007E-2</v>
      </c>
      <c r="J36" s="57">
        <f t="shared" si="1"/>
        <v>2.9188885770418185E-2</v>
      </c>
      <c r="L36">
        <v>2020</v>
      </c>
      <c r="M36">
        <v>2021</v>
      </c>
    </row>
    <row r="37" spans="2:21" x14ac:dyDescent="0.3">
      <c r="B37" t="s">
        <v>125</v>
      </c>
      <c r="C37" t="s">
        <v>127</v>
      </c>
      <c r="D37" s="90">
        <v>5300</v>
      </c>
      <c r="E37" s="88">
        <v>60</v>
      </c>
      <c r="F37" s="89">
        <v>5350</v>
      </c>
      <c r="G37" s="88">
        <v>70</v>
      </c>
      <c r="I37" s="57">
        <f t="shared" si="0"/>
        <v>0.29825548677546426</v>
      </c>
      <c r="J37" s="57">
        <f t="shared" si="1"/>
        <v>0.30030872859949481</v>
      </c>
      <c r="L37" t="s">
        <v>678</v>
      </c>
      <c r="M37" t="s">
        <v>678</v>
      </c>
      <c r="N37" s="9" t="s">
        <v>677</v>
      </c>
      <c r="O37" s="9"/>
      <c r="P37" s="9"/>
      <c r="Q37" s="9"/>
      <c r="R37" s="9"/>
      <c r="S37" s="9"/>
      <c r="T37" s="9"/>
      <c r="U37" s="9"/>
    </row>
    <row r="38" spans="2:21" x14ac:dyDescent="0.3">
      <c r="B38" t="s">
        <v>125</v>
      </c>
      <c r="C38" t="s">
        <v>126</v>
      </c>
      <c r="D38" s="90">
        <v>2800</v>
      </c>
      <c r="E38" s="88">
        <v>80</v>
      </c>
      <c r="F38" s="89">
        <v>2805</v>
      </c>
      <c r="G38" s="88">
        <v>85</v>
      </c>
      <c r="I38" s="57">
        <f t="shared" si="0"/>
        <v>0.15756893640967923</v>
      </c>
      <c r="J38" s="57">
        <f t="shared" si="1"/>
        <v>0.15745158574235196</v>
      </c>
      <c r="L38" s="88">
        <f>SUMPRODUCT(E27:E43,D27:D43)/SUM(D27:D43)</f>
        <v>193.92234102419809</v>
      </c>
      <c r="M38" s="88">
        <f>SUMPRODUCT(G27:G43,F27:F43)/SUM(F27:F43)</f>
        <v>208.36233511086164</v>
      </c>
    </row>
    <row r="39" spans="2:21" x14ac:dyDescent="0.3">
      <c r="B39" t="s">
        <v>125</v>
      </c>
      <c r="C39" t="s">
        <v>120</v>
      </c>
      <c r="D39" s="90">
        <v>170</v>
      </c>
      <c r="E39" s="88">
        <v>300</v>
      </c>
      <c r="F39" s="89">
        <v>175</v>
      </c>
      <c r="G39" s="88">
        <v>320</v>
      </c>
      <c r="I39" s="57">
        <f t="shared" si="0"/>
        <v>9.5666854248733814E-3</v>
      </c>
      <c r="J39" s="57">
        <f t="shared" si="1"/>
        <v>9.823182711198428E-3</v>
      </c>
      <c r="M39" s="146">
        <f>M38/L38-1</f>
        <v>7.4462766952992254E-2</v>
      </c>
    </row>
    <row r="40" spans="2:21" x14ac:dyDescent="0.3">
      <c r="B40" t="s">
        <v>121</v>
      </c>
      <c r="C40" t="s">
        <v>124</v>
      </c>
      <c r="D40" s="90">
        <v>15</v>
      </c>
      <c r="E40" s="88">
        <v>1400</v>
      </c>
      <c r="F40" s="89">
        <v>20</v>
      </c>
      <c r="G40" s="88">
        <v>1410</v>
      </c>
      <c r="I40" s="57">
        <f t="shared" si="0"/>
        <v>8.4411930219471017E-4</v>
      </c>
      <c r="J40" s="57">
        <f t="shared" si="1"/>
        <v>1.1226494527083919E-3</v>
      </c>
    </row>
    <row r="41" spans="2:21" x14ac:dyDescent="0.3">
      <c r="B41" t="s">
        <v>121</v>
      </c>
      <c r="C41" t="s">
        <v>123</v>
      </c>
      <c r="D41" s="90">
        <v>7000</v>
      </c>
      <c r="E41" s="88">
        <v>75</v>
      </c>
      <c r="F41" s="89">
        <v>7005</v>
      </c>
      <c r="G41" s="88">
        <v>80</v>
      </c>
      <c r="I41" s="57">
        <f t="shared" si="0"/>
        <v>0.3939223410241981</v>
      </c>
      <c r="J41" s="57">
        <f t="shared" si="1"/>
        <v>0.39320797081111425</v>
      </c>
    </row>
    <row r="42" spans="2:21" x14ac:dyDescent="0.3">
      <c r="B42" t="s">
        <v>121</v>
      </c>
      <c r="C42" t="s">
        <v>122</v>
      </c>
      <c r="D42" s="90">
        <v>700</v>
      </c>
      <c r="E42" s="88">
        <v>115</v>
      </c>
      <c r="F42" s="89">
        <v>705</v>
      </c>
      <c r="G42" s="88">
        <v>120</v>
      </c>
      <c r="I42" s="57">
        <f t="shared" si="0"/>
        <v>3.9392234102419807E-2</v>
      </c>
      <c r="J42" s="57">
        <f t="shared" si="1"/>
        <v>3.9573393207970813E-2</v>
      </c>
      <c r="L42" s="84" t="s">
        <v>674</v>
      </c>
      <c r="M42" s="146">
        <f>(1+M39)/((1+M28)*(1+M33))-1</f>
        <v>-4.5090263467728597E-4</v>
      </c>
    </row>
    <row r="43" spans="2:21" x14ac:dyDescent="0.3">
      <c r="B43" t="s">
        <v>121</v>
      </c>
      <c r="C43" t="s">
        <v>120</v>
      </c>
      <c r="D43" s="90">
        <v>120</v>
      </c>
      <c r="E43" s="88">
        <v>200</v>
      </c>
      <c r="F43" s="89">
        <v>125</v>
      </c>
      <c r="G43" s="88">
        <v>200</v>
      </c>
      <c r="I43" s="57">
        <f t="shared" si="0"/>
        <v>6.7529544175576814E-3</v>
      </c>
      <c r="J43" s="57">
        <f t="shared" si="1"/>
        <v>7.0165590794274485E-3</v>
      </c>
    </row>
    <row r="44" spans="2:21" ht="15" thickBot="1" x14ac:dyDescent="0.35">
      <c r="Q44" t="s">
        <v>10</v>
      </c>
    </row>
    <row r="45" spans="2:21" ht="15.6" thickTop="1" thickBot="1" x14ac:dyDescent="0.35">
      <c r="Q45" s="57">
        <f>(1+K46)*(1+K47)*(1+K48)-1</f>
        <v>7.4462766952992254E-2</v>
      </c>
      <c r="R45" s="145">
        <f>Q45-K49</f>
        <v>0</v>
      </c>
    </row>
    <row r="46" spans="2:21" ht="15.6" thickTop="1" thickBot="1" x14ac:dyDescent="0.35">
      <c r="J46" s="84" t="s">
        <v>676</v>
      </c>
      <c r="K46" s="144">
        <f>M28</f>
        <v>4.4965177016831115E-2</v>
      </c>
      <c r="Q46" s="57">
        <f>SUMPRODUCT(G27:G43,J27:J43)/SUMPRODUCT(E27:E43,I27:I43)-1</f>
        <v>7.4462766952992254E-2</v>
      </c>
      <c r="R46" s="7" t="b">
        <f>Q46=K49</f>
        <v>1</v>
      </c>
    </row>
    <row r="47" spans="2:21" ht="15" thickTop="1" x14ac:dyDescent="0.3">
      <c r="J47" s="84" t="s">
        <v>675</v>
      </c>
      <c r="K47" s="144">
        <f>M33</f>
        <v>2.8692139450263721E-2</v>
      </c>
    </row>
    <row r="48" spans="2:21" x14ac:dyDescent="0.3">
      <c r="J48" s="84" t="s">
        <v>674</v>
      </c>
      <c r="K48" s="144">
        <f>M42</f>
        <v>-4.5090263467728597E-4</v>
      </c>
    </row>
    <row r="49" spans="1:13" x14ac:dyDescent="0.3">
      <c r="J49" t="s">
        <v>673</v>
      </c>
      <c r="K49" s="142">
        <f>(SUMPRODUCT(G27:G43,F27:F43)/SUM(F27:F43))/(SUMPRODUCT(E27:E43,D27:D43)/SUM(D27:D43))-1</f>
        <v>7.4462766952992254E-2</v>
      </c>
    </row>
    <row r="50" spans="1:13" s="26" customFormat="1" x14ac:dyDescent="0.3">
      <c r="A50" s="26" t="s">
        <v>119</v>
      </c>
    </row>
    <row r="51" spans="1:13" ht="15" thickBot="1" x14ac:dyDescent="0.35"/>
    <row r="52" spans="1:13" ht="15" thickBot="1" x14ac:dyDescent="0.35">
      <c r="C52" s="375" t="s">
        <v>4</v>
      </c>
      <c r="D52" s="376"/>
      <c r="E52" s="376"/>
      <c r="F52" s="376"/>
      <c r="G52" s="377"/>
      <c r="I52" s="375" t="s">
        <v>3</v>
      </c>
      <c r="J52" s="376"/>
      <c r="K52" s="376"/>
      <c r="L52" s="376"/>
      <c r="M52" s="377"/>
    </row>
    <row r="54" spans="1:13" x14ac:dyDescent="0.3">
      <c r="D54" s="394" t="s">
        <v>118</v>
      </c>
      <c r="E54" s="394"/>
      <c r="F54" s="394"/>
    </row>
    <row r="55" spans="1:13" x14ac:dyDescent="0.3">
      <c r="D55">
        <v>2020</v>
      </c>
      <c r="E55">
        <v>2021</v>
      </c>
      <c r="F55" t="s">
        <v>117</v>
      </c>
      <c r="J55" s="84" t="s">
        <v>672</v>
      </c>
      <c r="K55">
        <f>SUMPRODUCT(D56:D57,F56:F57)</f>
        <v>303.3</v>
      </c>
    </row>
    <row r="56" spans="1:13" x14ac:dyDescent="0.3">
      <c r="C56" s="84" t="s">
        <v>116</v>
      </c>
      <c r="D56">
        <v>252</v>
      </c>
      <c r="E56">
        <v>251</v>
      </c>
      <c r="F56" s="87">
        <v>1</v>
      </c>
      <c r="J56" s="84" t="s">
        <v>671</v>
      </c>
      <c r="K56">
        <f>SUMPRODUCT(E56:E57,F56:F57)</f>
        <v>302.3</v>
      </c>
    </row>
    <row r="57" spans="1:13" x14ac:dyDescent="0.3">
      <c r="C57" s="84" t="s">
        <v>115</v>
      </c>
      <c r="D57">
        <v>114</v>
      </c>
      <c r="E57">
        <v>114</v>
      </c>
      <c r="F57">
        <v>0.45</v>
      </c>
      <c r="J57" s="84" t="s">
        <v>670</v>
      </c>
      <c r="K57" s="57">
        <f>K56/K55-1</f>
        <v>-3.2970656116056984E-3</v>
      </c>
    </row>
    <row r="59" spans="1:13" x14ac:dyDescent="0.3">
      <c r="B59" t="s">
        <v>105</v>
      </c>
      <c r="C59" t="s">
        <v>114</v>
      </c>
    </row>
    <row r="60" spans="1:13" x14ac:dyDescent="0.3">
      <c r="B60" s="84" t="s">
        <v>113</v>
      </c>
      <c r="C60" s="57">
        <v>5.0000000000000001E-3</v>
      </c>
      <c r="D60" s="86"/>
      <c r="J60" s="84" t="s">
        <v>669</v>
      </c>
      <c r="K60" s="83" t="s">
        <v>105</v>
      </c>
    </row>
    <row r="61" spans="1:13" x14ac:dyDescent="0.3">
      <c r="B61" s="84" t="s">
        <v>112</v>
      </c>
      <c r="C61" s="57">
        <v>1E-3</v>
      </c>
      <c r="D61" s="86"/>
      <c r="J61" s="57">
        <f>K49</f>
        <v>7.4462766952992254E-2</v>
      </c>
      <c r="K61" s="83" t="s">
        <v>665</v>
      </c>
    </row>
    <row r="62" spans="1:13" x14ac:dyDescent="0.3">
      <c r="B62" s="84" t="s">
        <v>111</v>
      </c>
      <c r="C62" s="57">
        <v>-2E-3</v>
      </c>
      <c r="D62" s="86"/>
      <c r="J62" s="57">
        <f>K57</f>
        <v>-3.2970656116056984E-3</v>
      </c>
      <c r="K62" s="83" t="s">
        <v>664</v>
      </c>
    </row>
    <row r="63" spans="1:13" x14ac:dyDescent="0.3">
      <c r="B63" s="84" t="s">
        <v>110</v>
      </c>
      <c r="C63" s="57">
        <v>3.0000000000000001E-3</v>
      </c>
      <c r="D63" s="86"/>
      <c r="J63" s="57">
        <f>C67</f>
        <v>0.02</v>
      </c>
      <c r="K63" s="83" t="s">
        <v>663</v>
      </c>
    </row>
    <row r="64" spans="1:13" x14ac:dyDescent="0.3">
      <c r="B64" s="84" t="s">
        <v>109</v>
      </c>
      <c r="C64" s="57">
        <v>5.0000000000000001E-3</v>
      </c>
      <c r="D64" s="86"/>
      <c r="J64" s="57">
        <f>(1+C63)*(1+C64)-1</f>
        <v>8.0149999999998833E-3</v>
      </c>
      <c r="K64" s="83" t="s">
        <v>662</v>
      </c>
    </row>
    <row r="65" spans="1:14" x14ac:dyDescent="0.3">
      <c r="B65" s="84" t="s">
        <v>97</v>
      </c>
      <c r="C65" s="57">
        <v>5.0000000000000001E-3</v>
      </c>
      <c r="D65" s="86"/>
      <c r="J65" s="57">
        <f>(1+C60)*(1+C62)*(1+C66)-1</f>
        <v>5.9989699999998258E-3</v>
      </c>
      <c r="K65" s="83" t="s">
        <v>661</v>
      </c>
    </row>
    <row r="66" spans="1:14" x14ac:dyDescent="0.3">
      <c r="B66" s="84" t="s">
        <v>108</v>
      </c>
      <c r="C66" s="57">
        <v>3.0000000000000001E-3</v>
      </c>
      <c r="D66" s="86"/>
      <c r="J66" s="57">
        <f>C61</f>
        <v>1E-3</v>
      </c>
      <c r="K66" s="83" t="s">
        <v>660</v>
      </c>
    </row>
    <row r="67" spans="1:14" x14ac:dyDescent="0.3">
      <c r="B67" s="84" t="s">
        <v>107</v>
      </c>
      <c r="C67" s="57">
        <v>0.02</v>
      </c>
      <c r="D67" s="86"/>
      <c r="J67" s="139">
        <f>(1+J61)*(1+J62)*(1+J63)*(1+J64)*(1+J65)*(1+J66)-1</f>
        <v>0.10880681755331745</v>
      </c>
      <c r="K67" s="143" t="s">
        <v>659</v>
      </c>
    </row>
    <row r="68" spans="1:14" x14ac:dyDescent="0.3">
      <c r="D68" s="86"/>
      <c r="J68" s="57">
        <f>C65</f>
        <v>5.0000000000000001E-3</v>
      </c>
      <c r="K68" s="83" t="s">
        <v>658</v>
      </c>
    </row>
    <row r="69" spans="1:14" x14ac:dyDescent="0.3">
      <c r="E69" s="85"/>
      <c r="I69" s="84"/>
      <c r="J69" s="142">
        <f>(1+J67)*(1+J68)-1</f>
        <v>0.11435085164108383</v>
      </c>
      <c r="K69" s="83" t="s">
        <v>657</v>
      </c>
    </row>
    <row r="72" spans="1:14" s="26" customFormat="1" x14ac:dyDescent="0.3">
      <c r="A72" s="26" t="s">
        <v>106</v>
      </c>
    </row>
    <row r="73" spans="1:14" ht="15" thickBot="1" x14ac:dyDescent="0.35"/>
    <row r="74" spans="1:14" ht="15" thickBot="1" x14ac:dyDescent="0.35">
      <c r="C74" s="375" t="s">
        <v>4</v>
      </c>
      <c r="D74" s="376"/>
      <c r="E74" s="376"/>
      <c r="F74" s="376"/>
      <c r="G74" s="377"/>
      <c r="I74" s="375" t="s">
        <v>3</v>
      </c>
      <c r="J74" s="376"/>
      <c r="K74" s="376"/>
      <c r="L74" s="376"/>
      <c r="M74" s="377"/>
    </row>
    <row r="76" spans="1:14" x14ac:dyDescent="0.3">
      <c r="B76" s="84" t="s">
        <v>105</v>
      </c>
      <c r="C76" t="s">
        <v>104</v>
      </c>
      <c r="I76" s="84" t="s">
        <v>105</v>
      </c>
      <c r="J76" t="s">
        <v>668</v>
      </c>
      <c r="K76" t="s">
        <v>667</v>
      </c>
      <c r="L76" t="s">
        <v>666</v>
      </c>
    </row>
    <row r="77" spans="1:14" x14ac:dyDescent="0.3">
      <c r="B77" s="84" t="s">
        <v>103</v>
      </c>
      <c r="C77" s="57">
        <v>3.4000000000000002E-2</v>
      </c>
      <c r="I77" s="84" t="s">
        <v>665</v>
      </c>
      <c r="J77" s="86">
        <f t="shared" ref="J77:J85" si="2">J61</f>
        <v>7.4462766952992254E-2</v>
      </c>
      <c r="K77" s="86">
        <f>C77</f>
        <v>3.4000000000000002E-2</v>
      </c>
      <c r="L77" s="12">
        <f t="shared" ref="L77:L85" si="3">K77-J77</f>
        <v>-4.0462766952992252E-2</v>
      </c>
      <c r="N77" s="141"/>
    </row>
    <row r="78" spans="1:14" x14ac:dyDescent="0.3">
      <c r="B78" s="84" t="s">
        <v>102</v>
      </c>
      <c r="C78" s="57">
        <v>0.03</v>
      </c>
      <c r="I78" s="84" t="s">
        <v>664</v>
      </c>
      <c r="J78" s="86">
        <f t="shared" si="2"/>
        <v>-3.2970656116056984E-3</v>
      </c>
      <c r="K78" s="86">
        <f>C78</f>
        <v>0.03</v>
      </c>
      <c r="L78" s="12">
        <f t="shared" si="3"/>
        <v>3.3297065611605697E-2</v>
      </c>
    </row>
    <row r="79" spans="1:14" x14ac:dyDescent="0.3">
      <c r="B79" s="84" t="s">
        <v>101</v>
      </c>
      <c r="C79" s="57">
        <v>0.03</v>
      </c>
      <c r="I79" s="84" t="s">
        <v>663</v>
      </c>
      <c r="J79" s="86">
        <f t="shared" si="2"/>
        <v>0.02</v>
      </c>
      <c r="K79" s="86">
        <f>C79</f>
        <v>0.03</v>
      </c>
      <c r="L79" s="12">
        <f t="shared" si="3"/>
        <v>9.9999999999999985E-3</v>
      </c>
    </row>
    <row r="80" spans="1:14" x14ac:dyDescent="0.3">
      <c r="B80" s="84" t="s">
        <v>100</v>
      </c>
      <c r="C80" s="57">
        <v>5.0000000000000001E-3</v>
      </c>
      <c r="I80" s="84" t="s">
        <v>662</v>
      </c>
      <c r="J80" s="86">
        <f t="shared" si="2"/>
        <v>8.0149999999998833E-3</v>
      </c>
      <c r="K80" s="86">
        <f>C81</f>
        <v>5.0000000000000001E-3</v>
      </c>
      <c r="L80" s="12">
        <f t="shared" si="3"/>
        <v>-3.0149999999998832E-3</v>
      </c>
    </row>
    <row r="81" spans="2:12" x14ac:dyDescent="0.3">
      <c r="B81" s="84" t="s">
        <v>99</v>
      </c>
      <c r="C81" s="57">
        <v>5.0000000000000001E-3</v>
      </c>
      <c r="I81" s="84" t="s">
        <v>661</v>
      </c>
      <c r="J81" s="86">
        <f t="shared" si="2"/>
        <v>5.9989699999998258E-3</v>
      </c>
      <c r="K81" s="86">
        <f>C80</f>
        <v>5.0000000000000001E-3</v>
      </c>
      <c r="L81" s="12">
        <f t="shared" si="3"/>
        <v>-9.9896999999982573E-4</v>
      </c>
    </row>
    <row r="82" spans="2:12" x14ac:dyDescent="0.3">
      <c r="B82" s="84" t="s">
        <v>98</v>
      </c>
      <c r="C82" s="57">
        <v>2E-3</v>
      </c>
      <c r="I82" s="84" t="s">
        <v>660</v>
      </c>
      <c r="J82" s="86">
        <f t="shared" si="2"/>
        <v>1E-3</v>
      </c>
      <c r="K82" s="86">
        <f>C82</f>
        <v>2E-3</v>
      </c>
      <c r="L82" s="12">
        <f t="shared" si="3"/>
        <v>1E-3</v>
      </c>
    </row>
    <row r="83" spans="2:12" x14ac:dyDescent="0.3">
      <c r="B83" s="84" t="s">
        <v>97</v>
      </c>
      <c r="C83" s="57">
        <v>6.0000000000000001E-3</v>
      </c>
      <c r="I83" s="140" t="s">
        <v>659</v>
      </c>
      <c r="J83" s="86">
        <f t="shared" si="2"/>
        <v>0.10880681755331745</v>
      </c>
      <c r="K83" s="139">
        <f>(1+K77)*(1+K78)*(1+K79)*(1+K80)*(1+K81)*(1+K82)-1</f>
        <v>0.11018366572552973</v>
      </c>
      <c r="L83" s="12">
        <f t="shared" si="3"/>
        <v>1.3768481722122861E-3</v>
      </c>
    </row>
    <row r="84" spans="2:12" x14ac:dyDescent="0.3">
      <c r="B84" s="84"/>
      <c r="C84" s="57"/>
      <c r="I84" s="84" t="s">
        <v>658</v>
      </c>
      <c r="J84" s="86">
        <f t="shared" si="2"/>
        <v>5.0000000000000001E-3</v>
      </c>
      <c r="K84" s="86">
        <f>C83</f>
        <v>6.0000000000000001E-3</v>
      </c>
      <c r="L84" s="12">
        <f t="shared" si="3"/>
        <v>1E-3</v>
      </c>
    </row>
    <row r="85" spans="2:12" x14ac:dyDescent="0.3">
      <c r="I85" s="84" t="s">
        <v>657</v>
      </c>
      <c r="J85" s="86">
        <f t="shared" si="2"/>
        <v>0.11435085164108383</v>
      </c>
      <c r="K85" s="86">
        <f>(1+K83)*(1+K84)-1</f>
        <v>0.11684476771988295</v>
      </c>
      <c r="L85" s="12">
        <f t="shared" si="3"/>
        <v>2.4939160787991188E-3</v>
      </c>
    </row>
  </sheetData>
  <mergeCells count="10">
    <mergeCell ref="C74:G74"/>
    <mergeCell ref="I74:M74"/>
    <mergeCell ref="D25:E25"/>
    <mergeCell ref="F25:G25"/>
    <mergeCell ref="C10:F10"/>
    <mergeCell ref="C22:G22"/>
    <mergeCell ref="I22:M22"/>
    <mergeCell ref="C52:G52"/>
    <mergeCell ref="I52:M52"/>
    <mergeCell ref="D54:F54"/>
  </mergeCells>
  <pageMargins left="0.7" right="0.7" top="0.75" bottom="0.75" header="0.3" footer="0.3"/>
  <pageSetup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F14CD-0B37-4253-A558-A6EAECAABC01}">
  <sheetPr>
    <tabColor theme="5" tint="0.39997558519241921"/>
  </sheetPr>
  <dimension ref="A1:P82"/>
  <sheetViews>
    <sheetView workbookViewId="0">
      <selection activeCell="B5" sqref="B5"/>
    </sheetView>
  </sheetViews>
  <sheetFormatPr defaultRowHeight="14.4" x14ac:dyDescent="0.3"/>
  <cols>
    <col min="6" max="6" width="11.21875" customWidth="1"/>
    <col min="7" max="7" width="12.5546875" bestFit="1" customWidth="1"/>
    <col min="8" max="8" width="9.33203125" bestFit="1" customWidth="1"/>
    <col min="9" max="9" width="12.5546875" bestFit="1" customWidth="1"/>
    <col min="10" max="10" width="15.5546875" customWidth="1"/>
    <col min="12" max="12" width="12.21875" customWidth="1"/>
    <col min="13" max="13" width="12.6640625" customWidth="1"/>
    <col min="14" max="14" width="13.88671875" customWidth="1"/>
    <col min="15" max="15" width="10.33203125" bestFit="1" customWidth="1"/>
    <col min="16" max="16" width="12.109375" customWidth="1"/>
    <col min="17" max="17" width="14.6640625" customWidth="1"/>
    <col min="18" max="18" width="16.33203125" customWidth="1"/>
  </cols>
  <sheetData>
    <row r="1" spans="1:8" ht="15" thickBot="1" x14ac:dyDescent="0.35">
      <c r="A1" t="s">
        <v>180</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t="s">
        <v>179</v>
      </c>
    </row>
    <row r="14" spans="1:8" x14ac:dyDescent="0.3">
      <c r="C14" t="s">
        <v>178</v>
      </c>
    </row>
    <row r="15" spans="1:8" x14ac:dyDescent="0.3">
      <c r="C15" t="s">
        <v>177</v>
      </c>
    </row>
    <row r="17" spans="1:16" x14ac:dyDescent="0.3">
      <c r="C17" t="s">
        <v>176</v>
      </c>
    </row>
    <row r="18" spans="1:16" ht="15" thickBot="1" x14ac:dyDescent="0.35"/>
    <row r="19" spans="1:16" ht="15" thickBot="1" x14ac:dyDescent="0.35">
      <c r="C19" s="375" t="s">
        <v>4</v>
      </c>
      <c r="D19" s="376"/>
      <c r="E19" s="376"/>
      <c r="F19" s="376"/>
      <c r="G19" s="376"/>
      <c r="H19" s="376"/>
      <c r="I19" s="376"/>
      <c r="J19" s="377"/>
      <c r="L19" s="375" t="s">
        <v>3</v>
      </c>
      <c r="M19" s="376"/>
      <c r="N19" s="376"/>
      <c r="O19" s="376"/>
      <c r="P19" s="377"/>
    </row>
    <row r="21" spans="1:16" s="26" customFormat="1" x14ac:dyDescent="0.3">
      <c r="A21" s="26" t="s">
        <v>175</v>
      </c>
    </row>
    <row r="22" spans="1:16" ht="43.2" x14ac:dyDescent="0.3">
      <c r="C22" s="3" t="s">
        <v>166</v>
      </c>
      <c r="D22" s="3" t="s">
        <v>165</v>
      </c>
      <c r="E22" s="3" t="s">
        <v>174</v>
      </c>
      <c r="F22" s="3" t="s">
        <v>173</v>
      </c>
      <c r="G22" s="3" t="s">
        <v>172</v>
      </c>
      <c r="H22" s="3" t="s">
        <v>171</v>
      </c>
      <c r="I22" s="3" t="s">
        <v>170</v>
      </c>
      <c r="J22" s="3" t="s">
        <v>169</v>
      </c>
    </row>
    <row r="23" spans="1:16" x14ac:dyDescent="0.3">
      <c r="C23" s="14" t="s">
        <v>161</v>
      </c>
      <c r="D23" s="14" t="s">
        <v>162</v>
      </c>
      <c r="E23" s="14">
        <v>1</v>
      </c>
      <c r="F23" s="93">
        <v>480</v>
      </c>
      <c r="G23" s="94">
        <v>154513</v>
      </c>
      <c r="H23" s="93">
        <v>400</v>
      </c>
      <c r="I23" s="94">
        <v>148179</v>
      </c>
      <c r="J23" s="93">
        <v>320</v>
      </c>
    </row>
    <row r="24" spans="1:16" x14ac:dyDescent="0.3">
      <c r="C24" s="14" t="s">
        <v>161</v>
      </c>
      <c r="D24" s="14" t="s">
        <v>160</v>
      </c>
      <c r="E24" s="14">
        <v>1</v>
      </c>
      <c r="F24" s="93">
        <v>480</v>
      </c>
      <c r="G24" s="94">
        <v>69077</v>
      </c>
      <c r="H24" s="93">
        <v>600</v>
      </c>
      <c r="I24" s="94">
        <v>93464</v>
      </c>
      <c r="J24" s="93">
        <v>400</v>
      </c>
    </row>
    <row r="25" spans="1:16" x14ac:dyDescent="0.3">
      <c r="C25" s="14" t="s">
        <v>159</v>
      </c>
      <c r="D25" s="14" t="s">
        <v>158</v>
      </c>
      <c r="E25" s="14">
        <v>1</v>
      </c>
      <c r="F25" s="93">
        <v>960</v>
      </c>
      <c r="G25" s="94">
        <v>178145</v>
      </c>
      <c r="H25" s="93">
        <v>1000</v>
      </c>
      <c r="I25" s="94">
        <v>186065</v>
      </c>
      <c r="J25" s="93">
        <v>800</v>
      </c>
    </row>
    <row r="26" spans="1:16" x14ac:dyDescent="0.3">
      <c r="C26" s="14" t="s">
        <v>159</v>
      </c>
      <c r="D26" s="14" t="s">
        <v>156</v>
      </c>
      <c r="E26" s="14">
        <v>1</v>
      </c>
      <c r="F26" s="93">
        <v>960</v>
      </c>
      <c r="G26" s="94">
        <v>727121</v>
      </c>
      <c r="H26" s="93">
        <v>800</v>
      </c>
      <c r="I26" s="94">
        <v>566135</v>
      </c>
      <c r="J26" s="93">
        <v>720</v>
      </c>
    </row>
    <row r="27" spans="1:16" x14ac:dyDescent="0.3">
      <c r="C27" s="14" t="s">
        <v>157</v>
      </c>
      <c r="D27" s="14" t="s">
        <v>158</v>
      </c>
      <c r="E27" s="14">
        <v>1</v>
      </c>
      <c r="F27" s="93">
        <v>960</v>
      </c>
      <c r="G27" s="94">
        <v>399917</v>
      </c>
      <c r="H27" s="93">
        <v>1100</v>
      </c>
      <c r="I27" s="94">
        <v>511679</v>
      </c>
      <c r="J27" s="93">
        <v>800</v>
      </c>
    </row>
    <row r="28" spans="1:16" x14ac:dyDescent="0.3">
      <c r="C28" s="14" t="s">
        <v>157</v>
      </c>
      <c r="D28" s="14" t="s">
        <v>156</v>
      </c>
      <c r="E28" s="14">
        <v>1</v>
      </c>
      <c r="F28" s="93">
        <v>960</v>
      </c>
      <c r="G28" s="94">
        <v>563519</v>
      </c>
      <c r="H28" s="93">
        <v>1100</v>
      </c>
      <c r="I28" s="94">
        <v>625359</v>
      </c>
      <c r="J28" s="93">
        <v>960</v>
      </c>
    </row>
    <row r="29" spans="1:16" x14ac:dyDescent="0.3">
      <c r="C29" s="14" t="s">
        <v>161</v>
      </c>
      <c r="D29" s="14" t="s">
        <v>162</v>
      </c>
      <c r="E29" s="14">
        <v>2</v>
      </c>
      <c r="F29" s="93">
        <v>800</v>
      </c>
      <c r="G29" s="94">
        <v>223544</v>
      </c>
      <c r="H29" s="93">
        <v>880</v>
      </c>
      <c r="I29" s="94">
        <v>285783</v>
      </c>
      <c r="J29" s="93">
        <v>880</v>
      </c>
    </row>
    <row r="30" spans="1:16" x14ac:dyDescent="0.3">
      <c r="C30" s="14" t="s">
        <v>161</v>
      </c>
      <c r="D30" s="14" t="s">
        <v>160</v>
      </c>
      <c r="E30" s="14">
        <v>2</v>
      </c>
      <c r="F30" s="93">
        <v>800</v>
      </c>
      <c r="G30" s="94">
        <v>99937</v>
      </c>
      <c r="H30" s="93">
        <v>1320</v>
      </c>
      <c r="I30" s="94">
        <v>174733</v>
      </c>
      <c r="J30" s="93">
        <v>1100</v>
      </c>
    </row>
    <row r="31" spans="1:16" x14ac:dyDescent="0.3">
      <c r="C31" s="14" t="s">
        <v>159</v>
      </c>
      <c r="D31" s="14" t="s">
        <v>158</v>
      </c>
      <c r="E31" s="14">
        <v>2</v>
      </c>
      <c r="F31" s="93">
        <v>1600</v>
      </c>
      <c r="G31" s="94">
        <v>257733</v>
      </c>
      <c r="H31" s="93">
        <v>2200</v>
      </c>
      <c r="I31" s="94">
        <v>359371</v>
      </c>
      <c r="J31" s="93">
        <v>2200</v>
      </c>
    </row>
    <row r="32" spans="1:16" x14ac:dyDescent="0.3">
      <c r="C32" s="14" t="s">
        <v>159</v>
      </c>
      <c r="D32" s="14" t="s">
        <v>156</v>
      </c>
      <c r="E32" s="14">
        <v>2</v>
      </c>
      <c r="F32" s="93">
        <v>1600</v>
      </c>
      <c r="G32" s="94">
        <v>1051969</v>
      </c>
      <c r="H32" s="93">
        <v>1760</v>
      </c>
      <c r="I32" s="94">
        <v>1160270</v>
      </c>
      <c r="J32" s="93">
        <v>1980</v>
      </c>
    </row>
    <row r="33" spans="1:10" x14ac:dyDescent="0.3">
      <c r="C33" s="14" t="s">
        <v>157</v>
      </c>
      <c r="D33" s="14" t="s">
        <v>158</v>
      </c>
      <c r="E33" s="14">
        <v>2</v>
      </c>
      <c r="F33" s="93">
        <v>1600</v>
      </c>
      <c r="G33" s="94">
        <v>578583</v>
      </c>
      <c r="H33" s="93">
        <v>2420</v>
      </c>
      <c r="I33" s="94">
        <v>997107</v>
      </c>
      <c r="J33" s="93">
        <v>2200</v>
      </c>
    </row>
    <row r="34" spans="1:10" x14ac:dyDescent="0.3">
      <c r="C34" s="14" t="s">
        <v>157</v>
      </c>
      <c r="D34" s="14" t="s">
        <v>156</v>
      </c>
      <c r="E34" s="14">
        <v>2</v>
      </c>
      <c r="F34" s="93">
        <v>1600</v>
      </c>
      <c r="G34" s="94">
        <v>815276</v>
      </c>
      <c r="H34" s="93">
        <v>2420</v>
      </c>
      <c r="I34" s="94">
        <v>1264513</v>
      </c>
      <c r="J34" s="93">
        <v>2640</v>
      </c>
    </row>
    <row r="35" spans="1:10" x14ac:dyDescent="0.3">
      <c r="C35" s="14" t="s">
        <v>161</v>
      </c>
      <c r="D35" s="14" t="s">
        <v>162</v>
      </c>
      <c r="E35" s="14">
        <v>3</v>
      </c>
      <c r="F35" s="93">
        <v>320</v>
      </c>
      <c r="G35" s="94">
        <v>118338</v>
      </c>
      <c r="H35" s="93">
        <v>320</v>
      </c>
      <c r="I35" s="94">
        <v>138880</v>
      </c>
      <c r="J35" s="93">
        <v>400</v>
      </c>
    </row>
    <row r="36" spans="1:10" x14ac:dyDescent="0.3">
      <c r="C36" s="14" t="s">
        <v>161</v>
      </c>
      <c r="D36" s="14" t="s">
        <v>160</v>
      </c>
      <c r="E36" s="14">
        <v>3</v>
      </c>
      <c r="F36" s="93">
        <v>320</v>
      </c>
      <c r="G36" s="94">
        <v>52904</v>
      </c>
      <c r="H36" s="93">
        <v>480</v>
      </c>
      <c r="I36" s="94">
        <v>89515</v>
      </c>
      <c r="J36" s="93">
        <v>500</v>
      </c>
    </row>
    <row r="37" spans="1:10" x14ac:dyDescent="0.3">
      <c r="C37" s="14" t="s">
        <v>159</v>
      </c>
      <c r="D37" s="14" t="s">
        <v>158</v>
      </c>
      <c r="E37" s="14">
        <v>3</v>
      </c>
      <c r="F37" s="93">
        <v>640</v>
      </c>
      <c r="G37" s="94">
        <v>136436</v>
      </c>
      <c r="H37" s="93">
        <v>800</v>
      </c>
      <c r="I37" s="94">
        <v>171003</v>
      </c>
      <c r="J37" s="93">
        <v>1000</v>
      </c>
    </row>
    <row r="38" spans="1:10" x14ac:dyDescent="0.3">
      <c r="C38" s="14" t="s">
        <v>159</v>
      </c>
      <c r="D38" s="14" t="s">
        <v>156</v>
      </c>
      <c r="E38" s="14">
        <v>3</v>
      </c>
      <c r="F38" s="93">
        <v>640</v>
      </c>
      <c r="G38" s="94">
        <v>556883</v>
      </c>
      <c r="H38" s="93">
        <v>640</v>
      </c>
      <c r="I38" s="94">
        <v>520305</v>
      </c>
      <c r="J38" s="93">
        <v>900</v>
      </c>
    </row>
    <row r="39" spans="1:10" x14ac:dyDescent="0.3">
      <c r="C39" s="14" t="s">
        <v>157</v>
      </c>
      <c r="D39" s="14" t="s">
        <v>158</v>
      </c>
      <c r="E39" s="14">
        <v>3</v>
      </c>
      <c r="F39" s="93">
        <v>640</v>
      </c>
      <c r="G39" s="94">
        <v>306285</v>
      </c>
      <c r="H39" s="93">
        <v>880</v>
      </c>
      <c r="I39" s="94">
        <v>460660</v>
      </c>
      <c r="J39" s="93">
        <v>1000</v>
      </c>
    </row>
    <row r="40" spans="1:10" x14ac:dyDescent="0.3">
      <c r="C40" s="14" t="s">
        <v>157</v>
      </c>
      <c r="D40" s="14" t="s">
        <v>156</v>
      </c>
      <c r="E40" s="14">
        <v>3</v>
      </c>
      <c r="F40" s="93">
        <v>640</v>
      </c>
      <c r="G40" s="94">
        <v>431584</v>
      </c>
      <c r="H40" s="93">
        <v>880</v>
      </c>
      <c r="I40" s="94">
        <v>567973</v>
      </c>
      <c r="J40" s="93">
        <v>1200</v>
      </c>
    </row>
    <row r="42" spans="1:10" s="26" customFormat="1" x14ac:dyDescent="0.3">
      <c r="A42" s="26" t="s">
        <v>168</v>
      </c>
    </row>
    <row r="44" spans="1:10" x14ac:dyDescent="0.3">
      <c r="C44" t="s">
        <v>167</v>
      </c>
    </row>
    <row r="48" spans="1:10" x14ac:dyDescent="0.3">
      <c r="C48" t="s">
        <v>166</v>
      </c>
      <c r="D48" t="s">
        <v>165</v>
      </c>
      <c r="E48" t="s">
        <v>164</v>
      </c>
      <c r="F48" t="s">
        <v>163</v>
      </c>
    </row>
    <row r="49" spans="3:6" x14ac:dyDescent="0.3">
      <c r="C49" t="s">
        <v>161</v>
      </c>
      <c r="D49" t="s">
        <v>162</v>
      </c>
      <c r="E49" s="92">
        <v>17600</v>
      </c>
      <c r="F49" s="92">
        <v>6088319</v>
      </c>
    </row>
    <row r="50" spans="3:6" x14ac:dyDescent="0.3">
      <c r="C50" t="s">
        <v>161</v>
      </c>
      <c r="D50" t="s">
        <v>160</v>
      </c>
      <c r="E50" s="92">
        <v>22000</v>
      </c>
      <c r="F50" s="92">
        <v>3402296</v>
      </c>
    </row>
    <row r="51" spans="3:6" x14ac:dyDescent="0.3">
      <c r="C51" t="s">
        <v>159</v>
      </c>
      <c r="D51" t="s">
        <v>158</v>
      </c>
      <c r="E51" s="92">
        <v>55000</v>
      </c>
      <c r="F51" s="92">
        <v>10967927</v>
      </c>
    </row>
    <row r="52" spans="3:6" x14ac:dyDescent="0.3">
      <c r="C52" t="s">
        <v>159</v>
      </c>
      <c r="D52" t="s">
        <v>156</v>
      </c>
      <c r="E52" s="92">
        <v>35200</v>
      </c>
      <c r="F52" s="92">
        <v>28650911</v>
      </c>
    </row>
    <row r="53" spans="3:6" x14ac:dyDescent="0.3">
      <c r="C53" t="s">
        <v>157</v>
      </c>
      <c r="D53" t="s">
        <v>158</v>
      </c>
      <c r="E53" s="92">
        <v>55000</v>
      </c>
      <c r="F53" s="92">
        <v>24621876</v>
      </c>
    </row>
    <row r="54" spans="3:6" x14ac:dyDescent="0.3">
      <c r="C54" t="s">
        <v>157</v>
      </c>
      <c r="D54" t="s">
        <v>156</v>
      </c>
      <c r="E54" s="92">
        <v>35200</v>
      </c>
      <c r="F54" s="92">
        <v>22204456</v>
      </c>
    </row>
    <row r="70" spans="1:5" s="26" customFormat="1" x14ac:dyDescent="0.3">
      <c r="A70" s="26" t="s">
        <v>155</v>
      </c>
    </row>
    <row r="72" spans="1:5" x14ac:dyDescent="0.3">
      <c r="C72">
        <v>0.96299999999999997</v>
      </c>
      <c r="D72" t="s">
        <v>154</v>
      </c>
    </row>
    <row r="73" spans="1:5" x14ac:dyDescent="0.3">
      <c r="C73">
        <v>4.4999999999999998E-2</v>
      </c>
      <c r="D73" t="s">
        <v>153</v>
      </c>
    </row>
    <row r="74" spans="1:5" x14ac:dyDescent="0.3">
      <c r="C74">
        <v>0.05</v>
      </c>
      <c r="D74" t="s">
        <v>152</v>
      </c>
    </row>
    <row r="78" spans="1:5" x14ac:dyDescent="0.3">
      <c r="C78" t="s">
        <v>151</v>
      </c>
      <c r="D78" t="s">
        <v>150</v>
      </c>
      <c r="E78" t="s">
        <v>149</v>
      </c>
    </row>
    <row r="79" spans="1:5" x14ac:dyDescent="0.3">
      <c r="C79">
        <v>2019</v>
      </c>
      <c r="D79">
        <v>1.069</v>
      </c>
      <c r="E79" s="55">
        <v>0.2</v>
      </c>
    </row>
    <row r="80" spans="1:5" x14ac:dyDescent="0.3">
      <c r="C80">
        <v>2020</v>
      </c>
      <c r="D80">
        <v>1.0669999999999999</v>
      </c>
      <c r="E80" s="55">
        <v>0.2</v>
      </c>
    </row>
    <row r="81" spans="3:5" x14ac:dyDescent="0.3">
      <c r="C81" t="s">
        <v>148</v>
      </c>
      <c r="D81">
        <v>1.079</v>
      </c>
      <c r="E81" s="55">
        <v>0.6</v>
      </c>
    </row>
    <row r="82" spans="3:5" x14ac:dyDescent="0.3">
      <c r="C82">
        <v>2022</v>
      </c>
      <c r="D82">
        <v>1.0620000000000001</v>
      </c>
      <c r="E82" t="s">
        <v>147</v>
      </c>
    </row>
  </sheetData>
  <mergeCells count="3">
    <mergeCell ref="C10:F10"/>
    <mergeCell ref="C19:J19"/>
    <mergeCell ref="L19:P19"/>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5DDD4-57B8-4ABF-9D80-C109F61D1F79}">
  <sheetPr>
    <tabColor theme="9" tint="0.59999389629810485"/>
  </sheetPr>
  <dimension ref="A1:R88"/>
  <sheetViews>
    <sheetView workbookViewId="0">
      <selection activeCell="I48" sqref="I48"/>
    </sheetView>
  </sheetViews>
  <sheetFormatPr defaultRowHeight="14.4" x14ac:dyDescent="0.3"/>
  <cols>
    <col min="6" max="6" width="11.21875" customWidth="1"/>
    <col min="7" max="7" width="12.5546875" bestFit="1" customWidth="1"/>
    <col min="8" max="8" width="9.33203125" bestFit="1" customWidth="1"/>
    <col min="9" max="9" width="12.5546875" bestFit="1" customWidth="1"/>
    <col min="10" max="10" width="15.5546875" customWidth="1"/>
    <col min="12" max="12" width="12.21875" customWidth="1"/>
    <col min="13" max="13" width="12.6640625" customWidth="1"/>
    <col min="14" max="14" width="13.88671875" customWidth="1"/>
    <col min="15" max="15" width="10.33203125" bestFit="1" customWidth="1"/>
    <col min="16" max="16" width="12.109375" customWidth="1"/>
    <col min="17" max="17" width="14.6640625" customWidth="1"/>
    <col min="18" max="18" width="16.33203125" customWidth="1"/>
  </cols>
  <sheetData>
    <row r="1" spans="1:8" ht="15" thickBot="1" x14ac:dyDescent="0.35">
      <c r="A1" t="s">
        <v>180</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t="s">
        <v>179</v>
      </c>
    </row>
    <row r="14" spans="1:8" x14ac:dyDescent="0.3">
      <c r="C14" t="s">
        <v>178</v>
      </c>
    </row>
    <row r="15" spans="1:8" x14ac:dyDescent="0.3">
      <c r="C15" t="s">
        <v>177</v>
      </c>
    </row>
    <row r="17" spans="1:18" x14ac:dyDescent="0.3">
      <c r="C17" t="s">
        <v>176</v>
      </c>
    </row>
    <row r="18" spans="1:18" ht="15" thickBot="1" x14ac:dyDescent="0.35"/>
    <row r="19" spans="1:18" ht="15" thickBot="1" x14ac:dyDescent="0.35">
      <c r="C19" s="375" t="s">
        <v>4</v>
      </c>
      <c r="D19" s="376"/>
      <c r="E19" s="376"/>
      <c r="F19" s="376"/>
      <c r="G19" s="376"/>
      <c r="H19" s="376"/>
      <c r="I19" s="376"/>
      <c r="J19" s="377"/>
      <c r="L19" s="375" t="s">
        <v>3</v>
      </c>
      <c r="M19" s="376"/>
      <c r="N19" s="376"/>
      <c r="O19" s="376"/>
      <c r="P19" s="377"/>
    </row>
    <row r="21" spans="1:18" s="26" customFormat="1" x14ac:dyDescent="0.3">
      <c r="A21" s="26" t="s">
        <v>175</v>
      </c>
    </row>
    <row r="22" spans="1:18" ht="43.2" x14ac:dyDescent="0.3">
      <c r="C22" s="3" t="s">
        <v>166</v>
      </c>
      <c r="D22" s="3" t="s">
        <v>165</v>
      </c>
      <c r="E22" s="3" t="s">
        <v>174</v>
      </c>
      <c r="F22" s="3" t="s">
        <v>173</v>
      </c>
      <c r="G22" s="3" t="s">
        <v>172</v>
      </c>
      <c r="H22" s="3" t="s">
        <v>171</v>
      </c>
      <c r="I22" s="3" t="s">
        <v>170</v>
      </c>
      <c r="J22" s="3" t="s">
        <v>169</v>
      </c>
      <c r="L22" s="3" t="s">
        <v>174</v>
      </c>
      <c r="M22" s="3" t="s">
        <v>173</v>
      </c>
      <c r="N22" s="3" t="s">
        <v>172</v>
      </c>
      <c r="O22" s="3" t="s">
        <v>690</v>
      </c>
      <c r="Q22" s="3" t="s">
        <v>171</v>
      </c>
      <c r="R22" s="3" t="s">
        <v>169</v>
      </c>
    </row>
    <row r="23" spans="1:18" x14ac:dyDescent="0.3">
      <c r="C23" s="14" t="s">
        <v>161</v>
      </c>
      <c r="D23" s="14" t="s">
        <v>162</v>
      </c>
      <c r="E23" s="14">
        <v>1</v>
      </c>
      <c r="F23" s="93">
        <v>480</v>
      </c>
      <c r="G23" s="94">
        <v>154513</v>
      </c>
      <c r="H23" s="93">
        <v>400</v>
      </c>
      <c r="I23" s="94">
        <v>148179</v>
      </c>
      <c r="J23" s="93">
        <v>320</v>
      </c>
      <c r="L23">
        <v>1</v>
      </c>
      <c r="M23" s="93">
        <f>SUMIFS($F$23:$F$40,$E$23:$E$40,L23)</f>
        <v>4800</v>
      </c>
      <c r="N23" s="94">
        <f>SUMIFS($G$23:$G$40,$E$23:$E$40,L23)</f>
        <v>2092292</v>
      </c>
      <c r="O23" s="147">
        <f>N23/M23</f>
        <v>435.89416666666665</v>
      </c>
      <c r="Q23" s="93">
        <f>SUMIFS($H$23:$H$40,$E$23:$E$40,L23)</f>
        <v>5000</v>
      </c>
      <c r="R23" s="93">
        <f>SUMIFS($J$23:$J$40,$E$23:$E$40,L23)</f>
        <v>4000</v>
      </c>
    </row>
    <row r="24" spans="1:18" x14ac:dyDescent="0.3">
      <c r="C24" s="14" t="s">
        <v>161</v>
      </c>
      <c r="D24" s="14" t="s">
        <v>160</v>
      </c>
      <c r="E24" s="14">
        <v>1</v>
      </c>
      <c r="F24" s="93">
        <v>480</v>
      </c>
      <c r="G24" s="94">
        <v>69077</v>
      </c>
      <c r="H24" s="93">
        <v>600</v>
      </c>
      <c r="I24" s="94">
        <v>93464</v>
      </c>
      <c r="J24" s="93">
        <v>400</v>
      </c>
      <c r="L24">
        <v>2</v>
      </c>
      <c r="M24" s="93">
        <f>SUMIFS($F$23:$F$40,$E$23:$E$40,L24)</f>
        <v>8000</v>
      </c>
      <c r="N24" s="94">
        <f>SUMIFS($G$23:$G$40,$E$23:$E$40,L24)</f>
        <v>3027042</v>
      </c>
      <c r="O24" s="147">
        <f>N24/M24</f>
        <v>378.38024999999999</v>
      </c>
      <c r="Q24" s="93">
        <f>SUMIFS($H$23:$H$40,$E$23:$E$40,L24)</f>
        <v>11000</v>
      </c>
      <c r="R24" s="93">
        <f>SUMIFS($J$23:$J$40,$E$23:$E$40,L24)</f>
        <v>11000</v>
      </c>
    </row>
    <row r="25" spans="1:18" x14ac:dyDescent="0.3">
      <c r="C25" s="14" t="s">
        <v>159</v>
      </c>
      <c r="D25" s="14" t="s">
        <v>158</v>
      </c>
      <c r="E25" s="14">
        <v>1</v>
      </c>
      <c r="F25" s="93">
        <v>960</v>
      </c>
      <c r="G25" s="94">
        <v>178145</v>
      </c>
      <c r="H25" s="93">
        <v>1000</v>
      </c>
      <c r="I25" s="94">
        <v>186065</v>
      </c>
      <c r="J25" s="93">
        <v>800</v>
      </c>
      <c r="L25" s="26">
        <v>3</v>
      </c>
      <c r="M25" s="150">
        <f>SUMIFS($F$23:$F$40,$E$23:$E$40,L25)</f>
        <v>3200</v>
      </c>
      <c r="N25" s="155">
        <f>SUMIFS($G$23:$G$40,$E$23:$E$40,L25)</f>
        <v>1602430</v>
      </c>
      <c r="O25" s="152">
        <f>N25/M25</f>
        <v>500.75937499999998</v>
      </c>
      <c r="Q25" s="150">
        <f>SUMIFS($H$23:$H$40,$E$23:$E$40,L25)</f>
        <v>4000</v>
      </c>
      <c r="R25" s="150">
        <f>SUMIFS($J$23:$J$40,$E$23:$E$40,L25)</f>
        <v>5000</v>
      </c>
    </row>
    <row r="26" spans="1:18" x14ac:dyDescent="0.3">
      <c r="C26" s="14" t="s">
        <v>159</v>
      </c>
      <c r="D26" s="14" t="s">
        <v>156</v>
      </c>
      <c r="E26" s="14">
        <v>1</v>
      </c>
      <c r="F26" s="93">
        <v>960</v>
      </c>
      <c r="G26" s="94">
        <v>727121</v>
      </c>
      <c r="H26" s="93">
        <v>800</v>
      </c>
      <c r="I26" s="94">
        <v>566135</v>
      </c>
      <c r="J26" s="93">
        <v>720</v>
      </c>
      <c r="M26" s="93">
        <f>SUM(M23:M25)</f>
        <v>16000</v>
      </c>
      <c r="N26" s="94">
        <f>SUM(N23:N25)</f>
        <v>6721764</v>
      </c>
      <c r="O26" s="147">
        <f>N26/M26</f>
        <v>420.11025000000001</v>
      </c>
      <c r="Q26" s="93">
        <f>SUM(Q23:Q25)</f>
        <v>20000</v>
      </c>
      <c r="R26" s="93">
        <f>SUM(R23:R25)</f>
        <v>20000</v>
      </c>
    </row>
    <row r="27" spans="1:18" x14ac:dyDescent="0.3">
      <c r="C27" s="14" t="s">
        <v>157</v>
      </c>
      <c r="D27" s="14" t="s">
        <v>158</v>
      </c>
      <c r="E27" s="14">
        <v>1</v>
      </c>
      <c r="F27" s="93">
        <v>960</v>
      </c>
      <c r="G27" s="94">
        <v>399917</v>
      </c>
      <c r="H27" s="93">
        <v>1100</v>
      </c>
      <c r="I27" s="94">
        <v>511679</v>
      </c>
      <c r="J27" s="93">
        <v>800</v>
      </c>
    </row>
    <row r="28" spans="1:18" x14ac:dyDescent="0.3">
      <c r="C28" s="14" t="s">
        <v>157</v>
      </c>
      <c r="D28" s="14" t="s">
        <v>156</v>
      </c>
      <c r="E28" s="14">
        <v>1</v>
      </c>
      <c r="F28" s="93">
        <v>960</v>
      </c>
      <c r="G28" s="94">
        <v>563519</v>
      </c>
      <c r="H28" s="93">
        <v>1100</v>
      </c>
      <c r="I28" s="94">
        <v>625359</v>
      </c>
      <c r="J28" s="93">
        <v>960</v>
      </c>
      <c r="M28" s="81">
        <v>2019</v>
      </c>
      <c r="N28" s="81">
        <v>2020</v>
      </c>
      <c r="O28" s="81">
        <v>2022</v>
      </c>
    </row>
    <row r="29" spans="1:18" x14ac:dyDescent="0.3">
      <c r="C29" s="14" t="s">
        <v>161</v>
      </c>
      <c r="D29" s="14" t="s">
        <v>162</v>
      </c>
      <c r="E29" s="14">
        <v>2</v>
      </c>
      <c r="F29" s="93">
        <v>800</v>
      </c>
      <c r="G29" s="94">
        <v>223544</v>
      </c>
      <c r="H29" s="93">
        <v>880</v>
      </c>
      <c r="I29" s="94">
        <v>285783</v>
      </c>
      <c r="J29" s="93">
        <v>880</v>
      </c>
      <c r="L29" s="3" t="s">
        <v>174</v>
      </c>
      <c r="M29" s="154" t="s">
        <v>699</v>
      </c>
      <c r="N29" s="154" t="s">
        <v>699</v>
      </c>
      <c r="O29" s="154" t="s">
        <v>699</v>
      </c>
    </row>
    <row r="30" spans="1:18" x14ac:dyDescent="0.3">
      <c r="C30" s="14" t="s">
        <v>161</v>
      </c>
      <c r="D30" s="14" t="s">
        <v>160</v>
      </c>
      <c r="E30" s="14">
        <v>2</v>
      </c>
      <c r="F30" s="93">
        <v>800</v>
      </c>
      <c r="G30" s="94">
        <v>99937</v>
      </c>
      <c r="H30" s="93">
        <v>1320</v>
      </c>
      <c r="I30" s="94">
        <v>174733</v>
      </c>
      <c r="J30" s="93">
        <v>1100</v>
      </c>
      <c r="L30" s="81">
        <v>1</v>
      </c>
      <c r="M30" s="149">
        <f>O23/$O$26</f>
        <v>1.0375708916092066</v>
      </c>
    </row>
    <row r="31" spans="1:18" x14ac:dyDescent="0.3">
      <c r="C31" s="14" t="s">
        <v>159</v>
      </c>
      <c r="D31" s="14" t="s">
        <v>158</v>
      </c>
      <c r="E31" s="14">
        <v>2</v>
      </c>
      <c r="F31" s="93">
        <v>1600</v>
      </c>
      <c r="G31" s="94">
        <v>257733</v>
      </c>
      <c r="H31" s="93">
        <v>2200</v>
      </c>
      <c r="I31" s="94">
        <v>359371</v>
      </c>
      <c r="J31" s="93">
        <v>2200</v>
      </c>
      <c r="L31" s="81">
        <v>2</v>
      </c>
      <c r="M31" s="149">
        <f>O24/$O$26</f>
        <v>0.90066893154832561</v>
      </c>
    </row>
    <row r="32" spans="1:18" x14ac:dyDescent="0.3">
      <c r="C32" s="14" t="s">
        <v>159</v>
      </c>
      <c r="D32" s="14" t="s">
        <v>156</v>
      </c>
      <c r="E32" s="14">
        <v>2</v>
      </c>
      <c r="F32" s="93">
        <v>1600</v>
      </c>
      <c r="G32" s="94">
        <v>1051969</v>
      </c>
      <c r="H32" s="93">
        <v>1760</v>
      </c>
      <c r="I32" s="94">
        <v>1160270</v>
      </c>
      <c r="J32" s="93">
        <v>1980</v>
      </c>
      <c r="L32" s="154">
        <v>3</v>
      </c>
      <c r="M32" s="149">
        <f>O25/$O$26</f>
        <v>1.1919713337153759</v>
      </c>
      <c r="N32" s="26"/>
      <c r="O32" s="26"/>
    </row>
    <row r="33" spans="1:18" x14ac:dyDescent="0.3">
      <c r="C33" s="14" t="s">
        <v>157</v>
      </c>
      <c r="D33" s="14" t="s">
        <v>158</v>
      </c>
      <c r="E33" s="14">
        <v>2</v>
      </c>
      <c r="F33" s="93">
        <v>1600</v>
      </c>
      <c r="G33" s="94">
        <v>578583</v>
      </c>
      <c r="H33" s="93">
        <v>2420</v>
      </c>
      <c r="I33" s="94">
        <v>997107</v>
      </c>
      <c r="J33" s="93">
        <v>2200</v>
      </c>
      <c r="M33" s="149">
        <f>SUMPRODUCT(M30:M32,M23:M25)/M26</f>
        <v>1</v>
      </c>
      <c r="N33" s="149" cm="1">
        <f t="array" ref="N33">SUMPRODUCT(M30:M32,Q23:Q25/Q26)</f>
        <v>0.99315490199695589</v>
      </c>
      <c r="O33" s="149" cm="1">
        <f t="array" ref="O33">SUMPRODUCT(M30:M32,R23:R25/R26)</f>
        <v>1.0008749241022645</v>
      </c>
      <c r="P33" t="s">
        <v>698</v>
      </c>
    </row>
    <row r="34" spans="1:18" x14ac:dyDescent="0.3">
      <c r="C34" s="14" t="s">
        <v>157</v>
      </c>
      <c r="D34" s="14" t="s">
        <v>156</v>
      </c>
      <c r="E34" s="14">
        <v>2</v>
      </c>
      <c r="F34" s="93">
        <v>1600</v>
      </c>
      <c r="G34" s="94">
        <v>815276</v>
      </c>
      <c r="H34" s="93">
        <v>2420</v>
      </c>
      <c r="I34" s="94">
        <v>1264513</v>
      </c>
      <c r="J34" s="93">
        <v>2640</v>
      </c>
    </row>
    <row r="35" spans="1:18" x14ac:dyDescent="0.3">
      <c r="C35" s="14" t="s">
        <v>161</v>
      </c>
      <c r="D35" s="14" t="s">
        <v>162</v>
      </c>
      <c r="E35" s="14">
        <v>3</v>
      </c>
      <c r="F35" s="93">
        <v>320</v>
      </c>
      <c r="G35" s="94">
        <v>118338</v>
      </c>
      <c r="H35" s="93">
        <v>320</v>
      </c>
      <c r="I35" s="94">
        <v>138880</v>
      </c>
      <c r="J35" s="93">
        <v>400</v>
      </c>
    </row>
    <row r="36" spans="1:18" x14ac:dyDescent="0.3">
      <c r="C36" s="14" t="s">
        <v>161</v>
      </c>
      <c r="D36" s="14" t="s">
        <v>160</v>
      </c>
      <c r="E36" s="14">
        <v>3</v>
      </c>
      <c r="F36" s="93">
        <v>320</v>
      </c>
      <c r="G36" s="94">
        <v>52904</v>
      </c>
      <c r="H36" s="93">
        <v>480</v>
      </c>
      <c r="I36" s="94">
        <v>89515</v>
      </c>
      <c r="J36" s="93">
        <v>500</v>
      </c>
    </row>
    <row r="37" spans="1:18" x14ac:dyDescent="0.3">
      <c r="C37" s="14" t="s">
        <v>159</v>
      </c>
      <c r="D37" s="14" t="s">
        <v>158</v>
      </c>
      <c r="E37" s="14">
        <v>3</v>
      </c>
      <c r="F37" s="93">
        <v>640</v>
      </c>
      <c r="G37" s="94">
        <v>136436</v>
      </c>
      <c r="H37" s="93">
        <v>800</v>
      </c>
      <c r="I37" s="94">
        <v>171003</v>
      </c>
      <c r="J37" s="93">
        <v>1000</v>
      </c>
    </row>
    <row r="38" spans="1:18" x14ac:dyDescent="0.3">
      <c r="C38" s="14" t="s">
        <v>159</v>
      </c>
      <c r="D38" s="14" t="s">
        <v>156</v>
      </c>
      <c r="E38" s="14">
        <v>3</v>
      </c>
      <c r="F38" s="93">
        <v>640</v>
      </c>
      <c r="G38" s="94">
        <v>556883</v>
      </c>
      <c r="H38" s="93">
        <v>640</v>
      </c>
      <c r="I38" s="94">
        <v>520305</v>
      </c>
      <c r="J38" s="93">
        <v>900</v>
      </c>
    </row>
    <row r="39" spans="1:18" x14ac:dyDescent="0.3">
      <c r="C39" s="14" t="s">
        <v>157</v>
      </c>
      <c r="D39" s="14" t="s">
        <v>158</v>
      </c>
      <c r="E39" s="14">
        <v>3</v>
      </c>
      <c r="F39" s="93">
        <v>640</v>
      </c>
      <c r="G39" s="94">
        <v>306285</v>
      </c>
      <c r="H39" s="93">
        <v>880</v>
      </c>
      <c r="I39" s="94">
        <v>460660</v>
      </c>
      <c r="J39" s="93">
        <v>1000</v>
      </c>
    </row>
    <row r="40" spans="1:18" x14ac:dyDescent="0.3">
      <c r="C40" s="14" t="s">
        <v>157</v>
      </c>
      <c r="D40" s="14" t="s">
        <v>156</v>
      </c>
      <c r="E40" s="14">
        <v>3</v>
      </c>
      <c r="F40" s="93">
        <v>640</v>
      </c>
      <c r="G40" s="94">
        <v>431584</v>
      </c>
      <c r="H40" s="93">
        <v>880</v>
      </c>
      <c r="I40" s="94">
        <v>567973</v>
      </c>
      <c r="J40" s="93">
        <v>1200</v>
      </c>
    </row>
    <row r="42" spans="1:18" s="26" customFormat="1" x14ac:dyDescent="0.3">
      <c r="A42" s="26" t="s">
        <v>168</v>
      </c>
    </row>
    <row r="44" spans="1:18" x14ac:dyDescent="0.3">
      <c r="C44" t="s">
        <v>167</v>
      </c>
      <c r="P44" t="s">
        <v>697</v>
      </c>
      <c r="Q44" t="s">
        <v>652</v>
      </c>
      <c r="R44" t="s">
        <v>606</v>
      </c>
    </row>
    <row r="45" spans="1:18" x14ac:dyDescent="0.3">
      <c r="O45" t="s">
        <v>161</v>
      </c>
      <c r="P45" s="151">
        <f>SUM(E49:E50)</f>
        <v>39600</v>
      </c>
      <c r="Q45" s="151">
        <f>SUM(F49:F50)</f>
        <v>9490615</v>
      </c>
      <c r="R45" s="147">
        <f>Q45/P45</f>
        <v>239.66199494949495</v>
      </c>
    </row>
    <row r="46" spans="1:18" x14ac:dyDescent="0.3">
      <c r="O46" s="26" t="s">
        <v>460</v>
      </c>
      <c r="P46" s="153">
        <f>SUM(E51:E54)</f>
        <v>180400</v>
      </c>
      <c r="Q46" s="153">
        <f>SUM(F51:F54)</f>
        <v>86445170</v>
      </c>
      <c r="R46" s="152">
        <f>Q46/P46</f>
        <v>479.18608647450111</v>
      </c>
    </row>
    <row r="47" spans="1:18" x14ac:dyDescent="0.3">
      <c r="P47" s="151">
        <f>SUM(P45:P46)</f>
        <v>220000</v>
      </c>
      <c r="Q47" s="151">
        <f>SUM(Q45:Q46)</f>
        <v>95935785</v>
      </c>
      <c r="R47" s="147">
        <f>Q47/P47</f>
        <v>436.07175000000001</v>
      </c>
    </row>
    <row r="48" spans="1:18" x14ac:dyDescent="0.3">
      <c r="C48" t="s">
        <v>166</v>
      </c>
      <c r="D48" t="s">
        <v>165</v>
      </c>
      <c r="E48" t="s">
        <v>164</v>
      </c>
      <c r="F48" t="s">
        <v>163</v>
      </c>
      <c r="L48" t="s">
        <v>696</v>
      </c>
      <c r="M48" t="s">
        <v>606</v>
      </c>
      <c r="N48" t="s">
        <v>695</v>
      </c>
    </row>
    <row r="49" spans="3:17" x14ac:dyDescent="0.3">
      <c r="C49" t="s">
        <v>161</v>
      </c>
      <c r="D49" t="s">
        <v>162</v>
      </c>
      <c r="E49" s="92">
        <v>17600</v>
      </c>
      <c r="F49" s="92">
        <v>6088319</v>
      </c>
      <c r="L49" t="str">
        <f t="shared" ref="L49:L54" si="0">C49&amp;" "&amp;D49</f>
        <v>Child 0-9</v>
      </c>
      <c r="M49" s="147">
        <f t="shared" ref="M49:M54" si="1">F49/E49</f>
        <v>345.92721590909093</v>
      </c>
      <c r="N49" s="149">
        <f t="shared" ref="N49:N54" si="2">M49/$R$47</f>
        <v>0.79328050007617079</v>
      </c>
    </row>
    <row r="50" spans="3:17" x14ac:dyDescent="0.3">
      <c r="C50" t="s">
        <v>161</v>
      </c>
      <c r="D50" t="s">
        <v>160</v>
      </c>
      <c r="E50" s="92">
        <v>22000</v>
      </c>
      <c r="F50" s="92">
        <v>3402296</v>
      </c>
      <c r="L50" t="str">
        <f t="shared" si="0"/>
        <v>Child 10-19</v>
      </c>
      <c r="M50" s="147">
        <f t="shared" si="1"/>
        <v>154.64981818181818</v>
      </c>
      <c r="N50" s="149">
        <f t="shared" si="2"/>
        <v>0.35464305629020493</v>
      </c>
    </row>
    <row r="51" spans="3:17" x14ac:dyDescent="0.3">
      <c r="C51" t="s">
        <v>159</v>
      </c>
      <c r="D51" t="s">
        <v>158</v>
      </c>
      <c r="E51" s="92">
        <v>55000</v>
      </c>
      <c r="F51" s="92">
        <v>10967927</v>
      </c>
      <c r="L51" t="str">
        <f t="shared" si="0"/>
        <v>Male 20-39</v>
      </c>
      <c r="M51" s="147">
        <f t="shared" si="1"/>
        <v>199.41685454545456</v>
      </c>
      <c r="N51" s="149">
        <f t="shared" si="2"/>
        <v>0.45730285106855595</v>
      </c>
    </row>
    <row r="52" spans="3:17" x14ac:dyDescent="0.3">
      <c r="C52" t="s">
        <v>159</v>
      </c>
      <c r="D52" t="s">
        <v>156</v>
      </c>
      <c r="E52" s="92">
        <v>35200</v>
      </c>
      <c r="F52" s="92">
        <v>28650911</v>
      </c>
      <c r="L52" t="str">
        <f t="shared" si="0"/>
        <v>Male 40+</v>
      </c>
      <c r="M52" s="147">
        <f t="shared" si="1"/>
        <v>813.9463352272727</v>
      </c>
      <c r="N52" s="149">
        <f t="shared" si="2"/>
        <v>1.8665422266571332</v>
      </c>
    </row>
    <row r="53" spans="3:17" x14ac:dyDescent="0.3">
      <c r="C53" t="s">
        <v>157</v>
      </c>
      <c r="D53" t="s">
        <v>158</v>
      </c>
      <c r="E53" s="92">
        <v>55000</v>
      </c>
      <c r="F53" s="92">
        <v>24621876</v>
      </c>
      <c r="L53" t="str">
        <f t="shared" si="0"/>
        <v>Female 20-39</v>
      </c>
      <c r="M53" s="147">
        <f t="shared" si="1"/>
        <v>447.67047272727274</v>
      </c>
      <c r="N53" s="149">
        <f t="shared" si="2"/>
        <v>1.0265981979508481</v>
      </c>
    </row>
    <row r="54" spans="3:17" x14ac:dyDescent="0.3">
      <c r="C54" t="s">
        <v>157</v>
      </c>
      <c r="D54" t="s">
        <v>156</v>
      </c>
      <c r="E54" s="92">
        <v>35200</v>
      </c>
      <c r="F54" s="92">
        <v>22204456</v>
      </c>
      <c r="L54" t="str">
        <f t="shared" si="0"/>
        <v>Female 40+</v>
      </c>
      <c r="M54" s="147">
        <f t="shared" si="1"/>
        <v>630.80840909090909</v>
      </c>
      <c r="N54" s="149">
        <f t="shared" si="2"/>
        <v>1.4465702240305847</v>
      </c>
    </row>
    <row r="59" spans="3:17" ht="43.2" x14ac:dyDescent="0.3">
      <c r="L59" t="s">
        <v>166</v>
      </c>
      <c r="M59" t="s">
        <v>165</v>
      </c>
      <c r="N59" s="3" t="s">
        <v>173</v>
      </c>
      <c r="O59" s="3" t="s">
        <v>171</v>
      </c>
      <c r="P59" s="3" t="s">
        <v>694</v>
      </c>
      <c r="Q59" s="3" t="s">
        <v>169</v>
      </c>
    </row>
    <row r="60" spans="3:17" x14ac:dyDescent="0.3">
      <c r="L60" t="s">
        <v>161</v>
      </c>
      <c r="M60" t="s">
        <v>162</v>
      </c>
      <c r="N60" s="93">
        <f t="shared" ref="N60:N65" si="3">SUMIFS($F$23:$F$40,$C$23:$C$40,L60,$D$23:$D$40,M60)</f>
        <v>1600</v>
      </c>
      <c r="O60" s="93">
        <f t="shared" ref="O60:O65" si="4">SUMIFS($H$23:$H$40,$C$23:$C$40,L60,$D$23:$D$40,M60)</f>
        <v>1600</v>
      </c>
      <c r="P60" s="93">
        <f t="shared" ref="P60:P65" si="5">E49</f>
        <v>17600</v>
      </c>
      <c r="Q60" s="93">
        <f t="shared" ref="Q60:Q65" si="6">SUMIFS($J$23:$J$40,$C$23:$C$40,L60,$D$23:$D$40,M60)</f>
        <v>1600</v>
      </c>
    </row>
    <row r="61" spans="3:17" x14ac:dyDescent="0.3">
      <c r="L61" t="s">
        <v>161</v>
      </c>
      <c r="M61" t="s">
        <v>160</v>
      </c>
      <c r="N61" s="93">
        <f t="shared" si="3"/>
        <v>1600</v>
      </c>
      <c r="O61" s="93">
        <f t="shared" si="4"/>
        <v>2400</v>
      </c>
      <c r="P61" s="93">
        <f t="shared" si="5"/>
        <v>22000</v>
      </c>
      <c r="Q61" s="93">
        <f t="shared" si="6"/>
        <v>2000</v>
      </c>
    </row>
    <row r="62" spans="3:17" x14ac:dyDescent="0.3">
      <c r="L62" t="s">
        <v>159</v>
      </c>
      <c r="M62" t="s">
        <v>158</v>
      </c>
      <c r="N62" s="93">
        <f t="shared" si="3"/>
        <v>3200</v>
      </c>
      <c r="O62" s="93">
        <f t="shared" si="4"/>
        <v>4000</v>
      </c>
      <c r="P62" s="93">
        <f t="shared" si="5"/>
        <v>55000</v>
      </c>
      <c r="Q62" s="93">
        <f t="shared" si="6"/>
        <v>4000</v>
      </c>
    </row>
    <row r="63" spans="3:17" x14ac:dyDescent="0.3">
      <c r="L63" t="s">
        <v>159</v>
      </c>
      <c r="M63" t="s">
        <v>156</v>
      </c>
      <c r="N63" s="93">
        <f t="shared" si="3"/>
        <v>3200</v>
      </c>
      <c r="O63" s="93">
        <f t="shared" si="4"/>
        <v>3200</v>
      </c>
      <c r="P63" s="93">
        <f t="shared" si="5"/>
        <v>35200</v>
      </c>
      <c r="Q63" s="93">
        <f t="shared" si="6"/>
        <v>3600</v>
      </c>
    </row>
    <row r="64" spans="3:17" x14ac:dyDescent="0.3">
      <c r="L64" t="s">
        <v>157</v>
      </c>
      <c r="M64" t="s">
        <v>158</v>
      </c>
      <c r="N64" s="93">
        <f t="shared" si="3"/>
        <v>3200</v>
      </c>
      <c r="O64" s="93">
        <f t="shared" si="4"/>
        <v>4400</v>
      </c>
      <c r="P64" s="93">
        <f t="shared" si="5"/>
        <v>55000</v>
      </c>
      <c r="Q64" s="93">
        <f t="shared" si="6"/>
        <v>4000</v>
      </c>
    </row>
    <row r="65" spans="1:18" x14ac:dyDescent="0.3">
      <c r="L65" s="26" t="s">
        <v>157</v>
      </c>
      <c r="M65" s="26" t="s">
        <v>156</v>
      </c>
      <c r="N65" s="150">
        <f t="shared" si="3"/>
        <v>3200</v>
      </c>
      <c r="O65" s="150">
        <f t="shared" si="4"/>
        <v>4400</v>
      </c>
      <c r="P65" s="150">
        <f t="shared" si="5"/>
        <v>35200</v>
      </c>
      <c r="Q65" s="150">
        <f t="shared" si="6"/>
        <v>4800</v>
      </c>
    </row>
    <row r="66" spans="1:18" x14ac:dyDescent="0.3">
      <c r="N66" s="93">
        <f>SUM(N60:N65)</f>
        <v>16000</v>
      </c>
      <c r="O66" s="93">
        <f>SUM(O60:O65)</f>
        <v>20000</v>
      </c>
      <c r="P66" s="93">
        <f>SUM(P60:P65)</f>
        <v>220000</v>
      </c>
      <c r="Q66" s="93">
        <f>SUM(Q60:Q65)</f>
        <v>20000</v>
      </c>
    </row>
    <row r="68" spans="1:18" x14ac:dyDescent="0.3">
      <c r="N68" s="149">
        <f>SUMPRODUCT(N60:N65,$N$49:$N$54)/N66</f>
        <v>1.0741950555780619</v>
      </c>
      <c r="O68" s="149">
        <f>SUMPRODUCT(O60:O65,$N$49:$N$54)/O66</f>
        <v>1.0402239860756859</v>
      </c>
      <c r="P68" s="149">
        <f>SUMPRODUCT(P60:P65,$N$49:$N$54)/P66</f>
        <v>1</v>
      </c>
      <c r="Q68" s="149">
        <f>SUMPRODUCT(Q60:Q65,$N$49:$N$54)/Q66</f>
        <v>1.0788614100046192</v>
      </c>
      <c r="R68" t="s">
        <v>693</v>
      </c>
    </row>
    <row r="70" spans="1:18" s="26" customFormat="1" x14ac:dyDescent="0.3">
      <c r="A70" s="26" t="s">
        <v>155</v>
      </c>
    </row>
    <row r="72" spans="1:18" x14ac:dyDescent="0.3">
      <c r="C72">
        <v>0.96299999999999997</v>
      </c>
      <c r="D72" t="s">
        <v>154</v>
      </c>
    </row>
    <row r="73" spans="1:18" x14ac:dyDescent="0.3">
      <c r="C73">
        <v>4.4999999999999998E-2</v>
      </c>
      <c r="D73" t="s">
        <v>153</v>
      </c>
    </row>
    <row r="74" spans="1:18" x14ac:dyDescent="0.3">
      <c r="C74">
        <v>0.05</v>
      </c>
      <c r="D74" t="s">
        <v>152</v>
      </c>
    </row>
    <row r="78" spans="1:18" x14ac:dyDescent="0.3">
      <c r="C78" t="s">
        <v>151</v>
      </c>
      <c r="D78" t="s">
        <v>150</v>
      </c>
      <c r="E78" t="s">
        <v>149</v>
      </c>
      <c r="L78" s="26"/>
      <c r="M78" s="23" t="s">
        <v>692</v>
      </c>
      <c r="N78" s="23" t="s">
        <v>691</v>
      </c>
      <c r="O78" s="23" t="s">
        <v>148</v>
      </c>
    </row>
    <row r="79" spans="1:18" x14ac:dyDescent="0.3">
      <c r="C79">
        <v>2019</v>
      </c>
      <c r="D79">
        <v>1.069</v>
      </c>
      <c r="E79" s="55">
        <v>0.2</v>
      </c>
      <c r="L79" s="84" t="s">
        <v>690</v>
      </c>
      <c r="M79" s="147">
        <f>SUM(G23:G40)/SUM(F23:F40)</f>
        <v>420.11025000000001</v>
      </c>
      <c r="N79" s="147">
        <f>SUM(I23:I40)/SUM(H23:H40)</f>
        <v>416.04969999999997</v>
      </c>
      <c r="O79" s="147">
        <f>R47</f>
        <v>436.07175000000001</v>
      </c>
    </row>
    <row r="80" spans="1:18" x14ac:dyDescent="0.3">
      <c r="C80">
        <v>2020</v>
      </c>
      <c r="D80">
        <v>1.0669999999999999</v>
      </c>
      <c r="E80" s="55">
        <v>0.2</v>
      </c>
      <c r="L80" s="84" t="s">
        <v>287</v>
      </c>
      <c r="M80" s="148">
        <f>(1+$C$74)^3</f>
        <v>1.1576250000000001</v>
      </c>
      <c r="N80" s="148">
        <f>(1+$C$74)^2</f>
        <v>1.1025</v>
      </c>
      <c r="O80" s="148">
        <f>(1+$C$74)^3</f>
        <v>1.1576250000000001</v>
      </c>
    </row>
    <row r="81" spans="3:15" x14ac:dyDescent="0.3">
      <c r="C81" t="s">
        <v>148</v>
      </c>
      <c r="D81">
        <v>1.079</v>
      </c>
      <c r="E81" s="55">
        <v>0.6</v>
      </c>
      <c r="L81" s="84" t="s">
        <v>174</v>
      </c>
      <c r="M81" s="148">
        <f>O33/M33</f>
        <v>1.0008749241022645</v>
      </c>
      <c r="N81" s="148">
        <f>O33/N33</f>
        <v>1.0077732306307765</v>
      </c>
      <c r="O81" s="148">
        <f>O33/C72</f>
        <v>1.0393301392546881</v>
      </c>
    </row>
    <row r="82" spans="3:15" x14ac:dyDescent="0.3">
      <c r="C82">
        <v>2022</v>
      </c>
      <c r="D82">
        <v>1.0620000000000001</v>
      </c>
      <c r="E82" t="s">
        <v>147</v>
      </c>
      <c r="L82" s="84" t="s">
        <v>689</v>
      </c>
      <c r="M82" s="148">
        <f>Q68/N68</f>
        <v>1.0043440475752758</v>
      </c>
      <c r="N82" s="148">
        <f>Q68/O68</f>
        <v>1.0371433695493752</v>
      </c>
      <c r="O82" s="148">
        <f>Q68/P68</f>
        <v>1.0788614100046192</v>
      </c>
    </row>
    <row r="83" spans="3:15" x14ac:dyDescent="0.3">
      <c r="L83" s="84" t="s">
        <v>688</v>
      </c>
      <c r="M83" s="148">
        <f>D82/D79</f>
        <v>0.99345182413470545</v>
      </c>
      <c r="N83" s="148">
        <f>D82/D80</f>
        <v>0.9953139643861294</v>
      </c>
      <c r="O83" s="148">
        <f>D82/D81</f>
        <v>0.98424467099165902</v>
      </c>
    </row>
    <row r="84" spans="3:15" x14ac:dyDescent="0.3">
      <c r="L84" s="84" t="s">
        <v>687</v>
      </c>
      <c r="M84" s="148">
        <v>1</v>
      </c>
      <c r="N84" s="148">
        <v>1</v>
      </c>
      <c r="O84" s="148">
        <f>1/(1+C73)</f>
        <v>0.95693779904306231</v>
      </c>
    </row>
    <row r="85" spans="3:15" x14ac:dyDescent="0.3">
      <c r="L85" s="84" t="s">
        <v>686</v>
      </c>
      <c r="M85" s="147">
        <f>PRODUCT(M79:M84)</f>
        <v>485.6689122025241</v>
      </c>
      <c r="N85" s="147">
        <f>PRODUCT(N79:N84)</f>
        <v>477.18361392946201</v>
      </c>
      <c r="O85" s="147">
        <f>PRODUCT(O79:O84)</f>
        <v>533.1283923974529</v>
      </c>
    </row>
    <row r="86" spans="3:15" x14ac:dyDescent="0.3">
      <c r="L86" s="84" t="s">
        <v>685</v>
      </c>
      <c r="M86" s="98">
        <f>E79</f>
        <v>0.2</v>
      </c>
      <c r="N86" s="98">
        <f>E80</f>
        <v>0.2</v>
      </c>
      <c r="O86" s="98">
        <f>E81</f>
        <v>0.6</v>
      </c>
    </row>
    <row r="88" spans="3:15" x14ac:dyDescent="0.3">
      <c r="O88" s="5">
        <f>SUMPRODUCT(M85:O85,M86:O86)</f>
        <v>512.44754066486894</v>
      </c>
    </row>
  </sheetData>
  <mergeCells count="3">
    <mergeCell ref="C10:F10"/>
    <mergeCell ref="C19:J19"/>
    <mergeCell ref="L19:P19"/>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50D8C-4E40-43C5-9B59-8D952F4A04C5}">
  <sheetPr>
    <tabColor theme="5" tint="0.39997558519241921"/>
  </sheetPr>
  <dimension ref="A1:P34"/>
  <sheetViews>
    <sheetView workbookViewId="0">
      <selection activeCell="B5" sqref="B5"/>
    </sheetView>
  </sheetViews>
  <sheetFormatPr defaultRowHeight="14.4" x14ac:dyDescent="0.3"/>
  <cols>
    <col min="4" max="7" width="11" customWidth="1"/>
    <col min="8" max="9" width="12.109375" customWidth="1"/>
  </cols>
  <sheetData>
    <row r="1" spans="1:8" ht="15" thickBot="1" x14ac:dyDescent="0.35">
      <c r="A1" t="s">
        <v>199</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v>0</v>
      </c>
      <c r="D12" t="s">
        <v>198</v>
      </c>
      <c r="F12">
        <v>0</v>
      </c>
    </row>
    <row r="13" spans="1:8" x14ac:dyDescent="0.3">
      <c r="C13" s="98">
        <v>0.05</v>
      </c>
      <c r="D13" t="s">
        <v>197</v>
      </c>
      <c r="F13" t="s">
        <v>196</v>
      </c>
    </row>
    <row r="14" spans="1:8" x14ac:dyDescent="0.3">
      <c r="C14" s="98">
        <v>0.2</v>
      </c>
      <c r="D14" t="s">
        <v>195</v>
      </c>
      <c r="F14" t="s">
        <v>194</v>
      </c>
    </row>
    <row r="15" spans="1:8" x14ac:dyDescent="0.3">
      <c r="C15" s="98">
        <v>0.02</v>
      </c>
      <c r="D15" t="s">
        <v>193</v>
      </c>
      <c r="F15" t="s">
        <v>192</v>
      </c>
    </row>
    <row r="16" spans="1:8" x14ac:dyDescent="0.3">
      <c r="C16" s="4">
        <v>10</v>
      </c>
      <c r="D16" t="s">
        <v>191</v>
      </c>
      <c r="F16" t="s">
        <v>190</v>
      </c>
    </row>
    <row r="17" spans="3:16" x14ac:dyDescent="0.3">
      <c r="C17" s="92">
        <v>1500</v>
      </c>
      <c r="D17" t="s">
        <v>189</v>
      </c>
      <c r="F17">
        <v>1500</v>
      </c>
    </row>
    <row r="21" spans="3:16" ht="15" thickBot="1" x14ac:dyDescent="0.35"/>
    <row r="22" spans="3:16" ht="15" thickBot="1" x14ac:dyDescent="0.35">
      <c r="C22" s="375" t="s">
        <v>4</v>
      </c>
      <c r="D22" s="376"/>
      <c r="E22" s="376"/>
      <c r="F22" s="376"/>
      <c r="G22" s="376"/>
      <c r="H22" s="376"/>
      <c r="I22" s="376"/>
      <c r="J22" s="377"/>
      <c r="L22" s="375" t="s">
        <v>3</v>
      </c>
      <c r="M22" s="376"/>
      <c r="N22" s="376"/>
      <c r="O22" s="376"/>
      <c r="P22" s="377"/>
    </row>
    <row r="24" spans="3:16" ht="43.2" x14ac:dyDescent="0.3">
      <c r="C24" s="81" t="s">
        <v>42</v>
      </c>
      <c r="D24" s="97" t="s">
        <v>140</v>
      </c>
      <c r="E24" s="97" t="s">
        <v>188</v>
      </c>
      <c r="F24" s="97" t="s">
        <v>187</v>
      </c>
      <c r="G24" s="97" t="s">
        <v>186</v>
      </c>
      <c r="H24" s="97" t="s">
        <v>185</v>
      </c>
      <c r="I24" s="97" t="s">
        <v>184</v>
      </c>
    </row>
    <row r="25" spans="3:16" x14ac:dyDescent="0.3">
      <c r="C25" t="s">
        <v>183</v>
      </c>
      <c r="D25" s="14">
        <v>2200</v>
      </c>
      <c r="E25" s="96">
        <v>50</v>
      </c>
      <c r="F25" s="95">
        <v>0.15</v>
      </c>
      <c r="G25" s="95">
        <v>0.8</v>
      </c>
      <c r="H25" s="95">
        <v>1</v>
      </c>
      <c r="I25" s="95">
        <v>1</v>
      </c>
    </row>
    <row r="26" spans="3:16" x14ac:dyDescent="0.3">
      <c r="C26" t="s">
        <v>182</v>
      </c>
      <c r="D26" s="14">
        <v>900</v>
      </c>
      <c r="E26" s="96">
        <v>250</v>
      </c>
      <c r="F26" s="95">
        <v>0.3</v>
      </c>
      <c r="G26" s="95">
        <v>0.6</v>
      </c>
      <c r="H26" s="95">
        <v>0.8</v>
      </c>
      <c r="I26" s="95">
        <v>0.6</v>
      </c>
    </row>
    <row r="27" spans="3:16" x14ac:dyDescent="0.3">
      <c r="C27" t="s">
        <v>181</v>
      </c>
      <c r="D27" s="14">
        <v>200</v>
      </c>
      <c r="E27" s="96">
        <v>600</v>
      </c>
      <c r="F27" s="95">
        <v>0.3</v>
      </c>
      <c r="G27" s="95">
        <v>0.6</v>
      </c>
      <c r="H27" s="95">
        <v>0.5</v>
      </c>
      <c r="I27" s="95">
        <v>0.4</v>
      </c>
    </row>
    <row r="31" spans="3:16" ht="61.35" customHeight="1" x14ac:dyDescent="0.3">
      <c r="C31" s="81" t="s">
        <v>42</v>
      </c>
      <c r="D31" s="97" t="s">
        <v>140</v>
      </c>
      <c r="E31" s="97" t="s">
        <v>188</v>
      </c>
      <c r="F31" s="97" t="s">
        <v>187</v>
      </c>
      <c r="G31" s="97" t="s">
        <v>186</v>
      </c>
      <c r="H31" s="97" t="s">
        <v>185</v>
      </c>
      <c r="I31" s="97" t="s">
        <v>184</v>
      </c>
    </row>
    <row r="32" spans="3:16" x14ac:dyDescent="0.3">
      <c r="C32" t="s">
        <v>183</v>
      </c>
      <c r="D32" s="14">
        <v>2200</v>
      </c>
      <c r="E32" s="96">
        <v>50</v>
      </c>
      <c r="F32" s="95">
        <v>0.15</v>
      </c>
      <c r="G32" s="95">
        <v>0.8</v>
      </c>
      <c r="H32" s="95">
        <v>1</v>
      </c>
      <c r="I32" s="95">
        <v>1</v>
      </c>
    </row>
    <row r="33" spans="3:9" x14ac:dyDescent="0.3">
      <c r="C33" t="s">
        <v>182</v>
      </c>
      <c r="D33" s="14">
        <v>900</v>
      </c>
      <c r="E33" s="96">
        <v>250</v>
      </c>
      <c r="F33" s="95">
        <v>0.3</v>
      </c>
      <c r="G33" s="95">
        <v>0.6</v>
      </c>
      <c r="H33" s="95">
        <v>0.8</v>
      </c>
      <c r="I33" s="95">
        <v>0.6</v>
      </c>
    </row>
    <row r="34" spans="3:9" x14ac:dyDescent="0.3">
      <c r="C34" t="s">
        <v>181</v>
      </c>
      <c r="D34" s="14">
        <v>200</v>
      </c>
      <c r="E34" s="96">
        <v>600</v>
      </c>
      <c r="F34" s="95">
        <v>0.3</v>
      </c>
      <c r="G34" s="95">
        <v>0.6</v>
      </c>
      <c r="H34" s="95">
        <v>0.5</v>
      </c>
      <c r="I34" s="95">
        <v>0.4</v>
      </c>
    </row>
  </sheetData>
  <mergeCells count="3">
    <mergeCell ref="C10:F10"/>
    <mergeCell ref="C22:J22"/>
    <mergeCell ref="L22:P22"/>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99B05-A05F-4E33-BF1A-B56D6B1D4919}">
  <sheetPr>
    <tabColor theme="9" tint="0.59999389629810485"/>
  </sheetPr>
  <dimension ref="A1:P43"/>
  <sheetViews>
    <sheetView workbookViewId="0">
      <selection activeCell="I48" sqref="I48"/>
    </sheetView>
  </sheetViews>
  <sheetFormatPr defaultRowHeight="14.4" x14ac:dyDescent="0.3"/>
  <cols>
    <col min="4" max="7" width="11" customWidth="1"/>
    <col min="8" max="9" width="12.109375" customWidth="1"/>
  </cols>
  <sheetData>
    <row r="1" spans="1:8" ht="15" thickBot="1" x14ac:dyDescent="0.35">
      <c r="A1" t="s">
        <v>199</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v>0</v>
      </c>
      <c r="D12" t="s">
        <v>198</v>
      </c>
      <c r="F12">
        <v>0</v>
      </c>
    </row>
    <row r="13" spans="1:8" x14ac:dyDescent="0.3">
      <c r="C13" s="98">
        <v>0.05</v>
      </c>
      <c r="D13" t="s">
        <v>197</v>
      </c>
      <c r="F13" t="s">
        <v>196</v>
      </c>
    </row>
    <row r="14" spans="1:8" x14ac:dyDescent="0.3">
      <c r="C14" s="98">
        <v>0.2</v>
      </c>
      <c r="D14" t="s">
        <v>195</v>
      </c>
      <c r="F14" t="s">
        <v>194</v>
      </c>
    </row>
    <row r="15" spans="1:8" x14ac:dyDescent="0.3">
      <c r="C15" s="98">
        <v>0.02</v>
      </c>
      <c r="D15" t="s">
        <v>193</v>
      </c>
      <c r="F15" t="s">
        <v>192</v>
      </c>
    </row>
    <row r="16" spans="1:8" x14ac:dyDescent="0.3">
      <c r="C16" s="4">
        <v>10</v>
      </c>
      <c r="D16" t="s">
        <v>191</v>
      </c>
      <c r="F16" t="s">
        <v>190</v>
      </c>
    </row>
    <row r="17" spans="3:16" x14ac:dyDescent="0.3">
      <c r="C17" s="92">
        <v>1500</v>
      </c>
      <c r="D17" t="s">
        <v>189</v>
      </c>
      <c r="F17">
        <v>1500</v>
      </c>
    </row>
    <row r="21" spans="3:16" ht="15" thickBot="1" x14ac:dyDescent="0.35"/>
    <row r="22" spans="3:16" ht="15" thickBot="1" x14ac:dyDescent="0.35">
      <c r="C22" s="375" t="s">
        <v>4</v>
      </c>
      <c r="D22" s="376"/>
      <c r="E22" s="376"/>
      <c r="F22" s="376"/>
      <c r="G22" s="376"/>
      <c r="H22" s="376"/>
      <c r="I22" s="376"/>
      <c r="J22" s="377"/>
      <c r="L22" s="375" t="s">
        <v>3</v>
      </c>
      <c r="M22" s="376"/>
      <c r="N22" s="376"/>
      <c r="O22" s="376"/>
      <c r="P22" s="377"/>
    </row>
    <row r="24" spans="3:16" ht="43.2" x14ac:dyDescent="0.3">
      <c r="C24" s="81" t="s">
        <v>42</v>
      </c>
      <c r="D24" s="97" t="s">
        <v>140</v>
      </c>
      <c r="E24" s="97" t="s">
        <v>188</v>
      </c>
      <c r="F24" s="97" t="s">
        <v>187</v>
      </c>
      <c r="G24" s="97" t="s">
        <v>186</v>
      </c>
      <c r="H24" s="97" t="s">
        <v>185</v>
      </c>
      <c r="I24" s="97" t="s">
        <v>184</v>
      </c>
      <c r="L24" s="97" t="s">
        <v>188</v>
      </c>
      <c r="M24" s="97" t="s">
        <v>706</v>
      </c>
      <c r="N24" s="97" t="s">
        <v>704</v>
      </c>
      <c r="O24" s="97" t="s">
        <v>703</v>
      </c>
    </row>
    <row r="25" spans="3:16" x14ac:dyDescent="0.3">
      <c r="C25" t="s">
        <v>183</v>
      </c>
      <c r="D25" s="14">
        <v>2200</v>
      </c>
      <c r="E25" s="96">
        <v>50</v>
      </c>
      <c r="F25" s="95">
        <v>0.15</v>
      </c>
      <c r="G25" s="95">
        <v>0.8</v>
      </c>
      <c r="H25" s="95">
        <v>1</v>
      </c>
      <c r="I25" s="95">
        <v>1</v>
      </c>
      <c r="L25" s="159">
        <f>E25*(1-F25)</f>
        <v>42.5</v>
      </c>
      <c r="M25" s="14">
        <f>G25*D25</f>
        <v>1760</v>
      </c>
      <c r="N25" s="2">
        <f>H25</f>
        <v>1</v>
      </c>
      <c r="O25" s="158">
        <f>(L25*M25/12000)*N25</f>
        <v>6.2333333333333334</v>
      </c>
    </row>
    <row r="26" spans="3:16" x14ac:dyDescent="0.3">
      <c r="C26" t="s">
        <v>182</v>
      </c>
      <c r="D26" s="14">
        <v>900</v>
      </c>
      <c r="E26" s="96">
        <v>250</v>
      </c>
      <c r="F26" s="95">
        <v>0.3</v>
      </c>
      <c r="G26" s="95">
        <v>0.6</v>
      </c>
      <c r="H26" s="95">
        <v>0.8</v>
      </c>
      <c r="I26" s="95">
        <v>0.6</v>
      </c>
      <c r="L26" s="159">
        <f>E26*(1-F26)</f>
        <v>175</v>
      </c>
      <c r="M26" s="14">
        <f>G26*D26</f>
        <v>540</v>
      </c>
      <c r="N26" s="2">
        <f>H26</f>
        <v>0.8</v>
      </c>
      <c r="O26" s="158">
        <f>(L26*M26/12000)*N26</f>
        <v>6.3000000000000007</v>
      </c>
    </row>
    <row r="27" spans="3:16" x14ac:dyDescent="0.3">
      <c r="C27" t="s">
        <v>181</v>
      </c>
      <c r="D27" s="14">
        <v>200</v>
      </c>
      <c r="E27" s="96">
        <v>600</v>
      </c>
      <c r="F27" s="95">
        <v>0.3</v>
      </c>
      <c r="G27" s="95">
        <v>0.6</v>
      </c>
      <c r="H27" s="95">
        <v>0.5</v>
      </c>
      <c r="I27" s="95">
        <v>0.4</v>
      </c>
      <c r="L27" s="157">
        <f>E27*(1-F27)</f>
        <v>420</v>
      </c>
      <c r="M27" s="23">
        <f>G27*D27</f>
        <v>120</v>
      </c>
      <c r="N27" s="19">
        <f>H27</f>
        <v>0.5</v>
      </c>
      <c r="O27" s="156">
        <f>(L27*M27/12000)*N27</f>
        <v>2.1</v>
      </c>
    </row>
    <row r="28" spans="3:16" x14ac:dyDescent="0.3">
      <c r="O28" s="147">
        <f>SUM(O25:O27)</f>
        <v>14.633333333333335</v>
      </c>
    </row>
    <row r="31" spans="3:16" ht="61.35" customHeight="1" x14ac:dyDescent="0.3">
      <c r="C31" s="81" t="s">
        <v>42</v>
      </c>
      <c r="D31" s="97" t="s">
        <v>140</v>
      </c>
      <c r="E31" s="97" t="s">
        <v>188</v>
      </c>
      <c r="F31" s="97" t="s">
        <v>187</v>
      </c>
      <c r="G31" s="97" t="s">
        <v>186</v>
      </c>
      <c r="H31" s="97" t="s">
        <v>185</v>
      </c>
      <c r="I31" s="97" t="s">
        <v>184</v>
      </c>
      <c r="L31" s="97" t="s">
        <v>188</v>
      </c>
      <c r="M31" s="97" t="s">
        <v>705</v>
      </c>
      <c r="N31" s="97" t="s">
        <v>704</v>
      </c>
      <c r="O31" s="97" t="s">
        <v>703</v>
      </c>
    </row>
    <row r="32" spans="3:16" x14ac:dyDescent="0.3">
      <c r="C32" t="s">
        <v>183</v>
      </c>
      <c r="D32" s="14">
        <v>2200</v>
      </c>
      <c r="E32" s="96">
        <v>50</v>
      </c>
      <c r="F32" s="95">
        <v>0.15</v>
      </c>
      <c r="G32" s="95">
        <v>0.8</v>
      </c>
      <c r="H32" s="95">
        <v>1</v>
      </c>
      <c r="I32" s="95">
        <v>1</v>
      </c>
      <c r="L32" s="159">
        <f>E32</f>
        <v>50</v>
      </c>
      <c r="M32" s="14">
        <f>(1-G32)*D32</f>
        <v>439.99999999999989</v>
      </c>
      <c r="N32" s="2">
        <f>I32</f>
        <v>1</v>
      </c>
      <c r="O32" s="158">
        <f>(L32*M32/12000)*N32</f>
        <v>1.8333333333333328</v>
      </c>
    </row>
    <row r="33" spans="3:15" x14ac:dyDescent="0.3">
      <c r="C33" t="s">
        <v>182</v>
      </c>
      <c r="D33" s="14">
        <v>900</v>
      </c>
      <c r="E33" s="96">
        <v>250</v>
      </c>
      <c r="F33" s="95">
        <v>0.3</v>
      </c>
      <c r="G33" s="95">
        <v>0.6</v>
      </c>
      <c r="H33" s="95">
        <v>0.8</v>
      </c>
      <c r="I33" s="95">
        <v>0.6</v>
      </c>
      <c r="L33" s="159">
        <f>E33</f>
        <v>250</v>
      </c>
      <c r="M33" s="14">
        <f>(1-G33)*D33</f>
        <v>360</v>
      </c>
      <c r="N33" s="2">
        <f>I33</f>
        <v>0.6</v>
      </c>
      <c r="O33" s="158">
        <f>(L33*M33/12000)*N33</f>
        <v>4.5</v>
      </c>
    </row>
    <row r="34" spans="3:15" x14ac:dyDescent="0.3">
      <c r="C34" t="s">
        <v>181</v>
      </c>
      <c r="D34" s="14">
        <v>200</v>
      </c>
      <c r="E34" s="96">
        <v>600</v>
      </c>
      <c r="F34" s="95">
        <v>0.3</v>
      </c>
      <c r="G34" s="95">
        <v>0.6</v>
      </c>
      <c r="H34" s="95">
        <v>0.5</v>
      </c>
      <c r="I34" s="95">
        <v>0.4</v>
      </c>
      <c r="L34" s="157">
        <f>E34</f>
        <v>600</v>
      </c>
      <c r="M34" s="23">
        <f>(1-G34)*D34</f>
        <v>80</v>
      </c>
      <c r="N34" s="19">
        <f>I34</f>
        <v>0.4</v>
      </c>
      <c r="O34" s="156">
        <f>(L34*M34/12000)*N34</f>
        <v>1.6</v>
      </c>
    </row>
    <row r="35" spans="3:15" x14ac:dyDescent="0.3">
      <c r="O35" s="147">
        <f>SUM(O32:O34)</f>
        <v>7.9333333333333336</v>
      </c>
    </row>
    <row r="38" spans="3:15" x14ac:dyDescent="0.3">
      <c r="O38" s="147">
        <f>O35+O28</f>
        <v>22.56666666666667</v>
      </c>
    </row>
    <row r="40" spans="3:15" x14ac:dyDescent="0.3">
      <c r="L40" s="5">
        <f>O38</f>
        <v>22.56666666666667</v>
      </c>
      <c r="M40" t="s">
        <v>702</v>
      </c>
    </row>
    <row r="41" spans="3:15" x14ac:dyDescent="0.3">
      <c r="L41" s="5">
        <f>(L40+C16/12+C14*L40)/(1-C13-C15)</f>
        <v>30.01433691756273</v>
      </c>
      <c r="M41" t="s">
        <v>701</v>
      </c>
    </row>
    <row r="43" spans="3:15" x14ac:dyDescent="0.3">
      <c r="L43" s="5">
        <f>L41*C17</f>
        <v>45021.505376344096</v>
      </c>
      <c r="M43" t="s">
        <v>700</v>
      </c>
    </row>
  </sheetData>
  <mergeCells count="3">
    <mergeCell ref="C10:F10"/>
    <mergeCell ref="C22:J22"/>
    <mergeCell ref="L22:P22"/>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3BC1A-0C82-4279-A1B3-929C42993086}">
  <sheetPr>
    <tabColor theme="5" tint="0.39997558519241921"/>
  </sheetPr>
  <dimension ref="A1:M78"/>
  <sheetViews>
    <sheetView workbookViewId="0">
      <selection activeCell="B5" sqref="B5"/>
    </sheetView>
  </sheetViews>
  <sheetFormatPr defaultRowHeight="14.4" x14ac:dyDescent="0.3"/>
  <cols>
    <col min="3" max="3" width="18.33203125" customWidth="1"/>
    <col min="5" max="5" width="10.109375" bestFit="1" customWidth="1"/>
    <col min="9" max="14" width="13.109375" customWidth="1"/>
    <col min="15" max="15" width="10.5546875" bestFit="1" customWidth="1"/>
    <col min="16" max="16" width="11" bestFit="1" customWidth="1"/>
  </cols>
  <sheetData>
    <row r="1" spans="1:13" ht="15" thickBot="1" x14ac:dyDescent="0.35">
      <c r="A1" t="s">
        <v>225</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2" spans="1:13" x14ac:dyDescent="0.3">
      <c r="C12">
        <v>500</v>
      </c>
      <c r="D12" t="s">
        <v>224</v>
      </c>
    </row>
    <row r="13" spans="1:13" ht="15" thickBot="1" x14ac:dyDescent="0.35"/>
    <row r="14" spans="1:13" ht="15" thickBot="1" x14ac:dyDescent="0.35">
      <c r="C14" s="375" t="s">
        <v>4</v>
      </c>
      <c r="D14" s="376"/>
      <c r="E14" s="376"/>
      <c r="F14" s="376"/>
      <c r="G14" s="377"/>
      <c r="I14" s="375" t="s">
        <v>3</v>
      </c>
      <c r="J14" s="376"/>
      <c r="K14" s="376"/>
      <c r="L14" s="376"/>
      <c r="M14" s="377"/>
    </row>
    <row r="15" spans="1:13" s="26" customFormat="1" x14ac:dyDescent="0.3">
      <c r="A15" s="26" t="s">
        <v>175</v>
      </c>
    </row>
    <row r="16" spans="1:13" x14ac:dyDescent="0.3">
      <c r="C16" t="s">
        <v>218</v>
      </c>
      <c r="E16" s="100">
        <v>1200</v>
      </c>
    </row>
    <row r="17" spans="1:5" x14ac:dyDescent="0.3">
      <c r="C17" t="s">
        <v>217</v>
      </c>
      <c r="E17" s="100">
        <v>1600</v>
      </c>
    </row>
    <row r="18" spans="1:5" x14ac:dyDescent="0.3">
      <c r="C18" t="s">
        <v>67</v>
      </c>
      <c r="E18" s="100">
        <v>200</v>
      </c>
    </row>
    <row r="19" spans="1:5" x14ac:dyDescent="0.3">
      <c r="C19" t="s">
        <v>216</v>
      </c>
      <c r="E19" s="55">
        <v>0.2</v>
      </c>
    </row>
    <row r="21" spans="1:5" s="26" customFormat="1" x14ac:dyDescent="0.3">
      <c r="A21" s="26" t="s">
        <v>168</v>
      </c>
    </row>
    <row r="23" spans="1:5" x14ac:dyDescent="0.3">
      <c r="C23" t="s">
        <v>214</v>
      </c>
      <c r="D23" t="s">
        <v>223</v>
      </c>
      <c r="E23" t="s">
        <v>222</v>
      </c>
    </row>
    <row r="24" spans="1:5" x14ac:dyDescent="0.3">
      <c r="C24" s="4">
        <v>0</v>
      </c>
      <c r="D24" s="55">
        <v>0.1</v>
      </c>
      <c r="E24" s="100">
        <v>0</v>
      </c>
    </row>
    <row r="25" spans="1:5" x14ac:dyDescent="0.3">
      <c r="C25" t="s">
        <v>211</v>
      </c>
      <c r="D25" s="55">
        <v>0.2</v>
      </c>
      <c r="E25" s="100">
        <v>25</v>
      </c>
    </row>
    <row r="26" spans="1:5" x14ac:dyDescent="0.3">
      <c r="C26" t="s">
        <v>210</v>
      </c>
      <c r="D26" s="55">
        <v>0.15</v>
      </c>
      <c r="E26" s="100">
        <v>100</v>
      </c>
    </row>
    <row r="27" spans="1:5" x14ac:dyDescent="0.3">
      <c r="C27" t="s">
        <v>209</v>
      </c>
      <c r="D27" s="55">
        <v>0.2</v>
      </c>
      <c r="E27" s="100">
        <v>300</v>
      </c>
    </row>
    <row r="28" spans="1:5" x14ac:dyDescent="0.3">
      <c r="C28" t="s">
        <v>208</v>
      </c>
      <c r="D28" s="55">
        <v>0.15</v>
      </c>
      <c r="E28" s="100">
        <v>1600</v>
      </c>
    </row>
    <row r="29" spans="1:5" x14ac:dyDescent="0.3">
      <c r="C29" t="s">
        <v>207</v>
      </c>
      <c r="D29" s="55">
        <v>0.1</v>
      </c>
      <c r="E29" s="100">
        <v>4000</v>
      </c>
    </row>
    <row r="30" spans="1:5" x14ac:dyDescent="0.3">
      <c r="C30" t="s">
        <v>206</v>
      </c>
      <c r="D30" s="55">
        <v>0.05</v>
      </c>
      <c r="E30" s="100">
        <v>11000</v>
      </c>
    </row>
    <row r="31" spans="1:5" x14ac:dyDescent="0.3">
      <c r="C31" t="s">
        <v>205</v>
      </c>
      <c r="D31" s="55">
        <v>0.03</v>
      </c>
      <c r="E31" s="100">
        <v>25000</v>
      </c>
    </row>
    <row r="32" spans="1:5" x14ac:dyDescent="0.3">
      <c r="C32" s="26" t="s">
        <v>204</v>
      </c>
      <c r="D32" s="102">
        <v>0.02</v>
      </c>
      <c r="E32" s="101">
        <v>60000</v>
      </c>
    </row>
    <row r="34" spans="1:13" s="26" customFormat="1" x14ac:dyDescent="0.3">
      <c r="A34" s="26" t="s">
        <v>155</v>
      </c>
    </row>
    <row r="35" spans="1:13" ht="15" thickBot="1" x14ac:dyDescent="0.35"/>
    <row r="36" spans="1:13" ht="15" thickBot="1" x14ac:dyDescent="0.35">
      <c r="C36" s="375" t="s">
        <v>8</v>
      </c>
      <c r="D36" s="376"/>
      <c r="E36" s="376"/>
      <c r="F36" s="377"/>
    </row>
    <row r="37" spans="1:13" x14ac:dyDescent="0.3">
      <c r="C37" t="s">
        <v>221</v>
      </c>
    </row>
    <row r="38" spans="1:13" x14ac:dyDescent="0.3">
      <c r="C38" t="s">
        <v>220</v>
      </c>
    </row>
    <row r="39" spans="1:13" x14ac:dyDescent="0.3">
      <c r="C39" t="s">
        <v>219</v>
      </c>
    </row>
    <row r="40" spans="1:13" ht="15" thickBot="1" x14ac:dyDescent="0.35"/>
    <row r="41" spans="1:13" ht="15" thickBot="1" x14ac:dyDescent="0.35">
      <c r="C41" s="375" t="s">
        <v>4</v>
      </c>
      <c r="D41" s="376"/>
      <c r="E41" s="376"/>
      <c r="F41" s="376"/>
      <c r="G41" s="377"/>
      <c r="I41" s="375" t="s">
        <v>3</v>
      </c>
      <c r="J41" s="376"/>
      <c r="K41" s="376"/>
      <c r="L41" s="376"/>
      <c r="M41" s="377"/>
    </row>
    <row r="43" spans="1:13" x14ac:dyDescent="0.3">
      <c r="C43" s="99" t="s">
        <v>213</v>
      </c>
    </row>
    <row r="44" spans="1:13" x14ac:dyDescent="0.3">
      <c r="C44" t="s">
        <v>218</v>
      </c>
      <c r="E44" s="100">
        <v>1200</v>
      </c>
    </row>
    <row r="45" spans="1:13" x14ac:dyDescent="0.3">
      <c r="C45" t="s">
        <v>217</v>
      </c>
      <c r="E45" s="100">
        <v>1600</v>
      </c>
    </row>
    <row r="46" spans="1:13" x14ac:dyDescent="0.3">
      <c r="C46" t="s">
        <v>67</v>
      </c>
      <c r="E46" s="100">
        <v>200</v>
      </c>
    </row>
    <row r="47" spans="1:13" x14ac:dyDescent="0.3">
      <c r="C47" t="s">
        <v>216</v>
      </c>
      <c r="E47" s="55">
        <v>0.2</v>
      </c>
    </row>
    <row r="51" spans="3:5" x14ac:dyDescent="0.3">
      <c r="C51" s="99" t="s">
        <v>212</v>
      </c>
    </row>
    <row r="52" spans="3:5" x14ac:dyDescent="0.3">
      <c r="C52" t="s">
        <v>218</v>
      </c>
      <c r="D52" s="4">
        <v>900</v>
      </c>
    </row>
    <row r="53" spans="3:5" x14ac:dyDescent="0.3">
      <c r="C53" t="s">
        <v>200</v>
      </c>
      <c r="D53" s="4">
        <v>100</v>
      </c>
    </row>
    <row r="54" spans="3:5" x14ac:dyDescent="0.3">
      <c r="C54" t="s">
        <v>217</v>
      </c>
      <c r="D54" s="4">
        <v>14000</v>
      </c>
    </row>
    <row r="55" spans="3:5" x14ac:dyDescent="0.3">
      <c r="C55" t="s">
        <v>67</v>
      </c>
      <c r="D55" s="4">
        <v>3000</v>
      </c>
    </row>
    <row r="56" spans="3:5" x14ac:dyDescent="0.3">
      <c r="C56" t="s">
        <v>216</v>
      </c>
      <c r="D56" s="98">
        <v>0.25</v>
      </c>
    </row>
    <row r="58" spans="3:5" x14ac:dyDescent="0.3">
      <c r="C58" t="s">
        <v>215</v>
      </c>
    </row>
    <row r="59" spans="3:5" x14ac:dyDescent="0.3">
      <c r="C59" t="s">
        <v>214</v>
      </c>
      <c r="D59" t="s">
        <v>213</v>
      </c>
      <c r="E59" t="s">
        <v>212</v>
      </c>
    </row>
    <row r="60" spans="3:5" x14ac:dyDescent="0.3">
      <c r="C60" s="4">
        <v>0</v>
      </c>
      <c r="D60" s="98">
        <v>0.2</v>
      </c>
      <c r="E60" s="98">
        <v>0.8</v>
      </c>
    </row>
    <row r="61" spans="3:5" x14ac:dyDescent="0.3">
      <c r="C61" t="s">
        <v>211</v>
      </c>
      <c r="D61" s="98">
        <v>0.2</v>
      </c>
      <c r="E61" s="98">
        <v>0.8</v>
      </c>
    </row>
    <row r="62" spans="3:5" x14ac:dyDescent="0.3">
      <c r="C62" t="s">
        <v>210</v>
      </c>
      <c r="D62" s="98">
        <v>0.6</v>
      </c>
      <c r="E62" s="98">
        <v>0.4</v>
      </c>
    </row>
    <row r="63" spans="3:5" x14ac:dyDescent="0.3">
      <c r="C63" t="s">
        <v>209</v>
      </c>
      <c r="D63" s="98">
        <v>0.6</v>
      </c>
      <c r="E63" s="98">
        <v>0.4</v>
      </c>
    </row>
    <row r="64" spans="3:5" x14ac:dyDescent="0.3">
      <c r="C64" t="s">
        <v>208</v>
      </c>
      <c r="D64" s="98">
        <v>0.8</v>
      </c>
      <c r="E64" s="98">
        <v>0.2</v>
      </c>
    </row>
    <row r="65" spans="1:13" x14ac:dyDescent="0.3">
      <c r="C65" t="s">
        <v>207</v>
      </c>
      <c r="D65" s="98">
        <v>0.8</v>
      </c>
      <c r="E65" s="98">
        <v>0.2</v>
      </c>
    </row>
    <row r="66" spans="1:13" x14ac:dyDescent="0.3">
      <c r="C66" t="s">
        <v>206</v>
      </c>
      <c r="D66" s="98">
        <v>0.8</v>
      </c>
      <c r="E66" s="98">
        <v>0.2</v>
      </c>
    </row>
    <row r="67" spans="1:13" x14ac:dyDescent="0.3">
      <c r="C67" t="s">
        <v>205</v>
      </c>
      <c r="D67" s="98">
        <v>0.8</v>
      </c>
      <c r="E67" s="98">
        <v>0.2</v>
      </c>
    </row>
    <row r="68" spans="1:13" x14ac:dyDescent="0.3">
      <c r="C68" s="26" t="s">
        <v>204</v>
      </c>
      <c r="D68" s="98">
        <v>1</v>
      </c>
      <c r="E68" s="98">
        <v>0</v>
      </c>
    </row>
    <row r="70" spans="1:13" s="26" customFormat="1" x14ac:dyDescent="0.3">
      <c r="A70" s="26" t="s">
        <v>203</v>
      </c>
    </row>
    <row r="71" spans="1:13" ht="15" thickBot="1" x14ac:dyDescent="0.35"/>
    <row r="72" spans="1:13" ht="15" thickBot="1" x14ac:dyDescent="0.35">
      <c r="C72" s="375" t="s">
        <v>8</v>
      </c>
      <c r="D72" s="376"/>
      <c r="E72" s="376"/>
      <c r="F72" s="377"/>
      <c r="I72" s="375" t="s">
        <v>3</v>
      </c>
      <c r="J72" s="376"/>
      <c r="K72" s="376"/>
      <c r="L72" s="376"/>
      <c r="M72" s="377"/>
    </row>
    <row r="75" spans="1:13" x14ac:dyDescent="0.3">
      <c r="C75" s="4">
        <v>1200</v>
      </c>
      <c r="D75" t="s">
        <v>202</v>
      </c>
    </row>
    <row r="76" spans="1:13" x14ac:dyDescent="0.3">
      <c r="C76" s="4">
        <v>900</v>
      </c>
      <c r="D76" t="s">
        <v>201</v>
      </c>
    </row>
    <row r="78" spans="1:13" x14ac:dyDescent="0.3">
      <c r="C78" s="4">
        <v>100</v>
      </c>
      <c r="D78" t="s">
        <v>200</v>
      </c>
    </row>
  </sheetData>
  <mergeCells count="8">
    <mergeCell ref="C72:F72"/>
    <mergeCell ref="I72:M72"/>
    <mergeCell ref="C10:F10"/>
    <mergeCell ref="C14:G14"/>
    <mergeCell ref="I14:M14"/>
    <mergeCell ref="C36:F36"/>
    <mergeCell ref="C41:G41"/>
    <mergeCell ref="I41:M4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C13CC-DB30-43E5-8C61-2D821EE35448}">
  <sheetPr>
    <tabColor theme="9" tint="0.59999389629810485"/>
  </sheetPr>
  <dimension ref="A1:AC109"/>
  <sheetViews>
    <sheetView workbookViewId="0">
      <selection activeCell="I48" sqref="I48"/>
    </sheetView>
  </sheetViews>
  <sheetFormatPr defaultRowHeight="14.4" outlineLevelRow="1" x14ac:dyDescent="0.3"/>
  <cols>
    <col min="3" max="3" width="18.33203125" customWidth="1"/>
    <col min="5" max="5" width="10.109375" bestFit="1" customWidth="1"/>
    <col min="9" max="14" width="13.109375" customWidth="1"/>
    <col min="15" max="15" width="10.5546875" bestFit="1" customWidth="1"/>
    <col min="16" max="16" width="11" bestFit="1" customWidth="1"/>
  </cols>
  <sheetData>
    <row r="1" spans="1:13" ht="15" thickBot="1" x14ac:dyDescent="0.35">
      <c r="A1" t="s">
        <v>225</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2" spans="1:13" x14ac:dyDescent="0.3">
      <c r="C12">
        <v>500</v>
      </c>
      <c r="D12" t="s">
        <v>224</v>
      </c>
    </row>
    <row r="13" spans="1:13" ht="15" thickBot="1" x14ac:dyDescent="0.35"/>
    <row r="14" spans="1:13" ht="15" thickBot="1" x14ac:dyDescent="0.35">
      <c r="C14" s="375" t="s">
        <v>4</v>
      </c>
      <c r="D14" s="376"/>
      <c r="E14" s="376"/>
      <c r="F14" s="376"/>
      <c r="G14" s="377"/>
      <c r="I14" s="375" t="s">
        <v>3</v>
      </c>
      <c r="J14" s="376"/>
      <c r="K14" s="376"/>
      <c r="L14" s="376"/>
      <c r="M14" s="377"/>
    </row>
    <row r="15" spans="1:13" s="26" customFormat="1" x14ac:dyDescent="0.3">
      <c r="A15" s="26" t="s">
        <v>175</v>
      </c>
    </row>
    <row r="16" spans="1:13" x14ac:dyDescent="0.3">
      <c r="C16" t="s">
        <v>218</v>
      </c>
      <c r="E16" s="100">
        <v>1200</v>
      </c>
    </row>
    <row r="17" spans="1:13" x14ac:dyDescent="0.3">
      <c r="C17" t="s">
        <v>217</v>
      </c>
      <c r="E17" s="100">
        <v>1600</v>
      </c>
    </row>
    <row r="18" spans="1:13" x14ac:dyDescent="0.3">
      <c r="C18" t="s">
        <v>67</v>
      </c>
      <c r="E18" s="100">
        <v>200</v>
      </c>
      <c r="I18" s="88">
        <f>E17-E18</f>
        <v>1400</v>
      </c>
      <c r="J18" t="s">
        <v>754</v>
      </c>
    </row>
    <row r="19" spans="1:13" x14ac:dyDescent="0.3">
      <c r="C19" t="s">
        <v>216</v>
      </c>
      <c r="E19" s="55">
        <v>0.2</v>
      </c>
      <c r="I19" s="88">
        <f>I18/E19</f>
        <v>7000</v>
      </c>
      <c r="J19" t="s">
        <v>753</v>
      </c>
    </row>
    <row r="20" spans="1:13" x14ac:dyDescent="0.3">
      <c r="I20" s="5">
        <f>I19+E18</f>
        <v>7200</v>
      </c>
      <c r="J20" t="s">
        <v>752</v>
      </c>
    </row>
    <row r="21" spans="1:13" s="26" customFormat="1" x14ac:dyDescent="0.3">
      <c r="A21" s="26" t="s">
        <v>168</v>
      </c>
    </row>
    <row r="23" spans="1:13" x14ac:dyDescent="0.3">
      <c r="C23" t="s">
        <v>214</v>
      </c>
      <c r="D23" t="s">
        <v>223</v>
      </c>
      <c r="E23" t="s">
        <v>222</v>
      </c>
      <c r="I23" t="s">
        <v>724</v>
      </c>
      <c r="L23" t="s">
        <v>723</v>
      </c>
    </row>
    <row r="24" spans="1:13" x14ac:dyDescent="0.3">
      <c r="C24" s="4">
        <v>0</v>
      </c>
      <c r="D24" s="55">
        <v>0.1</v>
      </c>
      <c r="E24" s="100">
        <v>0</v>
      </c>
      <c r="I24" s="88">
        <f>E24</f>
        <v>0</v>
      </c>
      <c r="L24" s="88">
        <f t="shared" ref="L24:L32" si="0">E24-I24</f>
        <v>0</v>
      </c>
    </row>
    <row r="25" spans="1:13" x14ac:dyDescent="0.3">
      <c r="C25" t="s">
        <v>211</v>
      </c>
      <c r="D25" s="55">
        <v>0.2</v>
      </c>
      <c r="E25" s="100">
        <v>25</v>
      </c>
      <c r="I25" s="88">
        <f>E25</f>
        <v>25</v>
      </c>
      <c r="L25" s="88">
        <f t="shared" si="0"/>
        <v>0</v>
      </c>
    </row>
    <row r="26" spans="1:13" x14ac:dyDescent="0.3">
      <c r="C26" t="s">
        <v>210</v>
      </c>
      <c r="D26" s="55">
        <v>0.15</v>
      </c>
      <c r="E26" s="100">
        <v>100</v>
      </c>
      <c r="I26" s="88">
        <f>E26</f>
        <v>100</v>
      </c>
      <c r="L26" s="88">
        <f t="shared" si="0"/>
        <v>0</v>
      </c>
    </row>
    <row r="27" spans="1:13" x14ac:dyDescent="0.3">
      <c r="C27" t="s">
        <v>209</v>
      </c>
      <c r="D27" s="55">
        <v>0.2</v>
      </c>
      <c r="E27" s="100">
        <v>300</v>
      </c>
      <c r="I27" s="88">
        <f>(E27-$E$18)*$E$19+$E$18</f>
        <v>220</v>
      </c>
      <c r="J27" s="9" t="s">
        <v>751</v>
      </c>
      <c r="K27" s="9"/>
      <c r="L27" s="88">
        <f t="shared" si="0"/>
        <v>80</v>
      </c>
    </row>
    <row r="28" spans="1:13" x14ac:dyDescent="0.3">
      <c r="C28" t="s">
        <v>208</v>
      </c>
      <c r="D28" s="55">
        <v>0.15</v>
      </c>
      <c r="E28" s="100">
        <v>1600</v>
      </c>
      <c r="I28" s="88">
        <f>(E28-$E$18)*$E$19+$E$18</f>
        <v>480</v>
      </c>
      <c r="L28" s="88">
        <f t="shared" si="0"/>
        <v>1120</v>
      </c>
    </row>
    <row r="29" spans="1:13" x14ac:dyDescent="0.3">
      <c r="C29" t="s">
        <v>207</v>
      </c>
      <c r="D29" s="55">
        <v>0.1</v>
      </c>
      <c r="E29" s="100">
        <v>4000</v>
      </c>
      <c r="I29" s="88">
        <f>(E29-$E$18)*$E$19+$E$18</f>
        <v>960</v>
      </c>
      <c r="L29" s="88">
        <f t="shared" si="0"/>
        <v>3040</v>
      </c>
    </row>
    <row r="30" spans="1:13" x14ac:dyDescent="0.3">
      <c r="C30" t="s">
        <v>206</v>
      </c>
      <c r="D30" s="55">
        <v>0.05</v>
      </c>
      <c r="E30" s="100">
        <v>11000</v>
      </c>
      <c r="I30" s="88">
        <f>$E$17</f>
        <v>1600</v>
      </c>
      <c r="J30" s="9" t="s">
        <v>750</v>
      </c>
      <c r="L30" s="88">
        <f t="shared" si="0"/>
        <v>9400</v>
      </c>
    </row>
    <row r="31" spans="1:13" x14ac:dyDescent="0.3">
      <c r="C31" t="s">
        <v>205</v>
      </c>
      <c r="D31" s="55">
        <v>0.03</v>
      </c>
      <c r="E31" s="100">
        <v>25000</v>
      </c>
      <c r="I31" s="88">
        <f>$E$17</f>
        <v>1600</v>
      </c>
      <c r="L31" s="88">
        <f t="shared" si="0"/>
        <v>23400</v>
      </c>
    </row>
    <row r="32" spans="1:13" x14ac:dyDescent="0.3">
      <c r="C32" s="26" t="s">
        <v>204</v>
      </c>
      <c r="D32" s="102">
        <v>0.02</v>
      </c>
      <c r="E32" s="101">
        <v>60000</v>
      </c>
      <c r="F32" s="26"/>
      <c r="G32" s="26"/>
      <c r="H32" s="26"/>
      <c r="I32" s="170">
        <f>$E$17</f>
        <v>1600</v>
      </c>
      <c r="J32" s="26"/>
      <c r="K32" s="26"/>
      <c r="L32" s="170">
        <f t="shared" si="0"/>
        <v>58400</v>
      </c>
      <c r="M32" s="26"/>
    </row>
    <row r="33" spans="1:29" x14ac:dyDescent="0.3">
      <c r="I33" s="5">
        <f>SUMPRODUCT(I24:I32,D24:D32)</f>
        <v>392</v>
      </c>
      <c r="J33" t="s">
        <v>749</v>
      </c>
      <c r="L33" s="5">
        <f>SUMPRODUCT(L24:L32,D24:D32)</f>
        <v>2828</v>
      </c>
      <c r="M33" t="s">
        <v>748</v>
      </c>
    </row>
    <row r="35" spans="1:29" s="26" customFormat="1" x14ac:dyDescent="0.3">
      <c r="A35" s="26" t="s">
        <v>168</v>
      </c>
      <c r="C35" s="26" t="s">
        <v>747</v>
      </c>
    </row>
    <row r="36" spans="1:29" outlineLevel="1" x14ac:dyDescent="0.3"/>
    <row r="37" spans="1:29" outlineLevel="1" x14ac:dyDescent="0.3">
      <c r="I37" s="14"/>
      <c r="J37" s="14" t="s">
        <v>746</v>
      </c>
      <c r="K37" s="14" t="s">
        <v>746</v>
      </c>
      <c r="L37" s="14"/>
      <c r="M37" s="14"/>
      <c r="N37" s="14"/>
    </row>
    <row r="38" spans="1:29" outlineLevel="1" x14ac:dyDescent="0.3">
      <c r="C38" t="s">
        <v>214</v>
      </c>
      <c r="D38" t="s">
        <v>223</v>
      </c>
      <c r="E38" t="s">
        <v>222</v>
      </c>
      <c r="I38" s="23" t="s">
        <v>745</v>
      </c>
      <c r="J38" s="23" t="s">
        <v>744</v>
      </c>
      <c r="K38" s="23" t="s">
        <v>743</v>
      </c>
      <c r="L38" s="23" t="s">
        <v>742</v>
      </c>
      <c r="M38" s="23" t="s">
        <v>640</v>
      </c>
      <c r="N38" s="23" t="s">
        <v>741</v>
      </c>
    </row>
    <row r="39" spans="1:29" outlineLevel="1" x14ac:dyDescent="0.3">
      <c r="C39" s="4">
        <v>0</v>
      </c>
      <c r="D39" s="55">
        <v>0.1</v>
      </c>
      <c r="E39" s="100">
        <v>0</v>
      </c>
      <c r="I39" s="88">
        <f t="shared" ref="I39:I47" si="1">D39*E39</f>
        <v>0</v>
      </c>
      <c r="J39" s="88">
        <f>SUM(I39:$I$47)</f>
        <v>3220</v>
      </c>
      <c r="K39" s="57">
        <f>SUM($D39:D$47)</f>
        <v>1.0000000000000002</v>
      </c>
      <c r="L39" s="88">
        <v>0</v>
      </c>
      <c r="M39" s="88">
        <f t="shared" ref="M39:M46" si="2">$J$39-(J40-K40*L39)</f>
        <v>0</v>
      </c>
      <c r="N39" s="88">
        <f t="shared" ref="N39:N47" si="3">$J$39-M39</f>
        <v>3220</v>
      </c>
    </row>
    <row r="40" spans="1:29" outlineLevel="1" x14ac:dyDescent="0.3">
      <c r="C40" t="s">
        <v>211</v>
      </c>
      <c r="D40" s="55">
        <v>0.2</v>
      </c>
      <c r="E40" s="100">
        <v>25</v>
      </c>
      <c r="I40" s="88">
        <f t="shared" si="1"/>
        <v>5</v>
      </c>
      <c r="J40" s="88">
        <f>SUM(I40:$I$47)</f>
        <v>3220</v>
      </c>
      <c r="K40" s="57">
        <f>SUM($D40:D$47)</f>
        <v>0.90000000000000013</v>
      </c>
      <c r="L40" s="88">
        <v>50</v>
      </c>
      <c r="M40" s="88">
        <f t="shared" si="2"/>
        <v>40</v>
      </c>
      <c r="N40" s="88">
        <f t="shared" si="3"/>
        <v>3180</v>
      </c>
    </row>
    <row r="41" spans="1:29" outlineLevel="1" x14ac:dyDescent="0.3">
      <c r="C41" t="s">
        <v>210</v>
      </c>
      <c r="D41" s="55">
        <v>0.15</v>
      </c>
      <c r="E41" s="100">
        <v>100</v>
      </c>
      <c r="I41" s="88">
        <f t="shared" si="1"/>
        <v>15</v>
      </c>
      <c r="J41" s="88">
        <f>SUM(I41:$I$47)</f>
        <v>3215</v>
      </c>
      <c r="K41" s="57">
        <f>SUM($D41:D$47)</f>
        <v>0.70000000000000007</v>
      </c>
      <c r="L41" s="88">
        <v>200</v>
      </c>
      <c r="M41" s="88">
        <f t="shared" si="2"/>
        <v>130</v>
      </c>
      <c r="N41" s="88">
        <f t="shared" si="3"/>
        <v>3090</v>
      </c>
    </row>
    <row r="42" spans="1:29" outlineLevel="1" x14ac:dyDescent="0.3">
      <c r="C42" t="s">
        <v>209</v>
      </c>
      <c r="D42" s="55">
        <v>0.2</v>
      </c>
      <c r="E42" s="100">
        <v>300</v>
      </c>
      <c r="I42" s="88">
        <f t="shared" si="1"/>
        <v>60</v>
      </c>
      <c r="J42" s="88">
        <f>SUM(I42:$I$47)</f>
        <v>3200</v>
      </c>
      <c r="K42" s="57">
        <f>SUM($D42:D$47)</f>
        <v>0.54999999999999993</v>
      </c>
      <c r="L42" s="88">
        <v>1000</v>
      </c>
      <c r="M42" s="88">
        <f t="shared" si="2"/>
        <v>430</v>
      </c>
      <c r="N42" s="88">
        <f t="shared" si="3"/>
        <v>2790</v>
      </c>
    </row>
    <row r="43" spans="1:29" outlineLevel="1" x14ac:dyDescent="0.3">
      <c r="C43" t="s">
        <v>208</v>
      </c>
      <c r="D43" s="55">
        <v>0.15</v>
      </c>
      <c r="E43" s="100">
        <v>1600</v>
      </c>
      <c r="I43" s="88">
        <f t="shared" si="1"/>
        <v>240</v>
      </c>
      <c r="J43" s="88">
        <f>SUM(I43:$I$47)</f>
        <v>3140</v>
      </c>
      <c r="K43" s="57">
        <f>SUM($D43:D$47)</f>
        <v>0.35</v>
      </c>
      <c r="L43" s="88">
        <v>3000</v>
      </c>
      <c r="M43" s="88">
        <f t="shared" si="2"/>
        <v>920</v>
      </c>
      <c r="N43" s="88">
        <f t="shared" si="3"/>
        <v>2300</v>
      </c>
    </row>
    <row r="44" spans="1:29" outlineLevel="1" x14ac:dyDescent="0.3">
      <c r="C44" t="s">
        <v>207</v>
      </c>
      <c r="D44" s="55">
        <v>0.1</v>
      </c>
      <c r="E44" s="100">
        <v>4000</v>
      </c>
      <c r="I44" s="88">
        <f t="shared" si="1"/>
        <v>400</v>
      </c>
      <c r="J44" s="88">
        <f>SUM(I44:$I$47)</f>
        <v>2900</v>
      </c>
      <c r="K44" s="57">
        <f>SUM($D44:D$47)</f>
        <v>0.2</v>
      </c>
      <c r="L44" s="88">
        <v>7200</v>
      </c>
      <c r="M44" s="88">
        <f t="shared" si="2"/>
        <v>1440</v>
      </c>
      <c r="N44" s="88">
        <f t="shared" si="3"/>
        <v>1780</v>
      </c>
      <c r="P44" s="88">
        <f>((I20-L44)/(L45-L44))*(M45-M44)+M44</f>
        <v>1440</v>
      </c>
      <c r="Q44" s="9" t="s">
        <v>740</v>
      </c>
      <c r="R44" s="9"/>
      <c r="S44" s="9"/>
      <c r="T44" s="9"/>
      <c r="U44" s="9"/>
      <c r="V44" s="9"/>
      <c r="W44" s="9"/>
      <c r="X44" s="9"/>
      <c r="Y44" s="9"/>
      <c r="Z44" s="9"/>
      <c r="AA44" s="9"/>
      <c r="AB44" s="9"/>
      <c r="AC44" s="9"/>
    </row>
    <row r="45" spans="1:29" outlineLevel="1" x14ac:dyDescent="0.3">
      <c r="C45" t="s">
        <v>206</v>
      </c>
      <c r="D45" s="55">
        <v>0.05</v>
      </c>
      <c r="E45" s="100">
        <v>11000</v>
      </c>
      <c r="I45" s="88">
        <f t="shared" si="1"/>
        <v>550</v>
      </c>
      <c r="J45" s="88">
        <f>SUM(I45:$I$47)</f>
        <v>2500</v>
      </c>
      <c r="K45" s="57">
        <f>SUM($D45:D$47)</f>
        <v>0.1</v>
      </c>
      <c r="L45" s="88">
        <v>20000</v>
      </c>
      <c r="M45" s="88">
        <f t="shared" si="2"/>
        <v>2270</v>
      </c>
      <c r="N45" s="88">
        <f t="shared" si="3"/>
        <v>950</v>
      </c>
    </row>
    <row r="46" spans="1:29" outlineLevel="1" x14ac:dyDescent="0.3">
      <c r="C46" t="s">
        <v>205</v>
      </c>
      <c r="D46" s="55">
        <v>0.03</v>
      </c>
      <c r="E46" s="100">
        <v>25000</v>
      </c>
      <c r="I46" s="88">
        <f t="shared" si="1"/>
        <v>750</v>
      </c>
      <c r="J46" s="88">
        <f>SUM(I46:$I$47)</f>
        <v>1950</v>
      </c>
      <c r="K46" s="57">
        <f>SUM($D46:D$47)</f>
        <v>0.05</v>
      </c>
      <c r="L46" s="88">
        <v>40000</v>
      </c>
      <c r="M46" s="88">
        <f t="shared" si="2"/>
        <v>2820</v>
      </c>
      <c r="N46" s="88">
        <f t="shared" si="3"/>
        <v>400</v>
      </c>
    </row>
    <row r="47" spans="1:29" outlineLevel="1" x14ac:dyDescent="0.3">
      <c r="C47" s="26" t="s">
        <v>204</v>
      </c>
      <c r="D47" s="55">
        <v>0.02</v>
      </c>
      <c r="E47" s="100">
        <v>60000</v>
      </c>
      <c r="I47" s="88">
        <f t="shared" si="1"/>
        <v>1200</v>
      </c>
      <c r="J47" s="88">
        <f>SUM(I47:$I$47)</f>
        <v>1200</v>
      </c>
      <c r="K47" s="57">
        <f>SUM($D47:D$47)</f>
        <v>0.02</v>
      </c>
      <c r="L47" s="88">
        <v>100000</v>
      </c>
      <c r="M47" s="88">
        <f>J39</f>
        <v>3220</v>
      </c>
      <c r="N47" s="88">
        <f t="shared" si="3"/>
        <v>0</v>
      </c>
    </row>
    <row r="48" spans="1:29" outlineLevel="1" x14ac:dyDescent="0.3"/>
    <row r="49" spans="1:15" outlineLevel="1" x14ac:dyDescent="0.3"/>
    <row r="50" spans="1:15" outlineLevel="1" x14ac:dyDescent="0.3">
      <c r="I50" s="394" t="s">
        <v>739</v>
      </c>
      <c r="J50" s="394"/>
      <c r="K50" s="14" t="s">
        <v>738</v>
      </c>
      <c r="L50" s="14" t="s">
        <v>737</v>
      </c>
      <c r="M50" s="14"/>
      <c r="N50" s="14"/>
      <c r="O50" s="14"/>
    </row>
    <row r="51" spans="1:15" outlineLevel="1" x14ac:dyDescent="0.3">
      <c r="H51" s="26" t="s">
        <v>736</v>
      </c>
      <c r="I51" s="23" t="s">
        <v>735</v>
      </c>
      <c r="J51" s="23" t="s">
        <v>734</v>
      </c>
      <c r="K51" s="23" t="s">
        <v>733</v>
      </c>
      <c r="L51" s="23" t="s">
        <v>733</v>
      </c>
      <c r="M51" s="23" t="s">
        <v>732</v>
      </c>
      <c r="N51" s="23" t="s">
        <v>731</v>
      </c>
      <c r="O51" s="23" t="s">
        <v>724</v>
      </c>
    </row>
    <row r="52" spans="1:15" outlineLevel="1" x14ac:dyDescent="0.3">
      <c r="H52" t="s">
        <v>641</v>
      </c>
      <c r="I52" s="108">
        <v>0</v>
      </c>
      <c r="J52" s="108">
        <v>200</v>
      </c>
      <c r="K52" s="108">
        <f>M39</f>
        <v>0</v>
      </c>
      <c r="L52" s="108">
        <f>M41</f>
        <v>130</v>
      </c>
      <c r="M52" s="14">
        <v>0</v>
      </c>
      <c r="N52" s="108">
        <f>M52*(L52-K52)</f>
        <v>0</v>
      </c>
      <c r="O52" s="14"/>
    </row>
    <row r="53" spans="1:15" outlineLevel="1" x14ac:dyDescent="0.3">
      <c r="H53" t="s">
        <v>704</v>
      </c>
      <c r="I53" s="108">
        <v>200</v>
      </c>
      <c r="J53" s="108">
        <v>7200</v>
      </c>
      <c r="K53" s="108">
        <f>L52</f>
        <v>130</v>
      </c>
      <c r="L53" s="108">
        <f>P44</f>
        <v>1440</v>
      </c>
      <c r="M53" s="2">
        <f>1-E19</f>
        <v>0.8</v>
      </c>
      <c r="N53" s="108">
        <f>M53*(L53-K53)</f>
        <v>1048</v>
      </c>
      <c r="O53" s="14"/>
    </row>
    <row r="54" spans="1:15" outlineLevel="1" x14ac:dyDescent="0.3">
      <c r="H54" s="26" t="s">
        <v>730</v>
      </c>
      <c r="I54" s="169">
        <v>7200</v>
      </c>
      <c r="J54" s="169">
        <v>100000</v>
      </c>
      <c r="K54" s="169">
        <f>L53</f>
        <v>1440</v>
      </c>
      <c r="L54" s="169">
        <f>J39</f>
        <v>3220</v>
      </c>
      <c r="M54" s="19">
        <v>1</v>
      </c>
      <c r="N54" s="169">
        <f>M54*(L54-K54)</f>
        <v>1780</v>
      </c>
      <c r="O54" s="14"/>
    </row>
    <row r="55" spans="1:15" outlineLevel="1" x14ac:dyDescent="0.3">
      <c r="N55" s="5">
        <f>SUM(N52:N54)</f>
        <v>2828</v>
      </c>
      <c r="O55" s="5">
        <f>J39-N55</f>
        <v>392</v>
      </c>
    </row>
    <row r="56" spans="1:15" outlineLevel="1" x14ac:dyDescent="0.3">
      <c r="N56" s="14" t="s">
        <v>729</v>
      </c>
    </row>
    <row r="57" spans="1:15" outlineLevel="1" x14ac:dyDescent="0.3">
      <c r="N57" s="5">
        <f>M53*N41+(M54-M53)*N44</f>
        <v>2828</v>
      </c>
    </row>
    <row r="58" spans="1:15" s="26" customFormat="1" x14ac:dyDescent="0.3">
      <c r="A58" s="26" t="s">
        <v>155</v>
      </c>
    </row>
    <row r="59" spans="1:15" ht="15" thickBot="1" x14ac:dyDescent="0.35"/>
    <row r="60" spans="1:15" ht="15" thickBot="1" x14ac:dyDescent="0.35">
      <c r="C60" s="375" t="s">
        <v>8</v>
      </c>
      <c r="D60" s="376"/>
      <c r="E60" s="376"/>
      <c r="F60" s="377"/>
    </row>
    <row r="61" spans="1:15" x14ac:dyDescent="0.3">
      <c r="C61" t="s">
        <v>221</v>
      </c>
    </row>
    <row r="62" spans="1:15" x14ac:dyDescent="0.3">
      <c r="C62" t="s">
        <v>220</v>
      </c>
    </row>
    <row r="63" spans="1:15" x14ac:dyDescent="0.3">
      <c r="C63" t="s">
        <v>219</v>
      </c>
    </row>
    <row r="64" spans="1:15" ht="15" thickBot="1" x14ac:dyDescent="0.35"/>
    <row r="65" spans="3:17" ht="15" thickBot="1" x14ac:dyDescent="0.35">
      <c r="C65" s="375" t="s">
        <v>4</v>
      </c>
      <c r="D65" s="376"/>
      <c r="E65" s="376"/>
      <c r="F65" s="376"/>
      <c r="G65" s="377"/>
      <c r="I65" s="375" t="s">
        <v>3</v>
      </c>
      <c r="J65" s="376"/>
      <c r="K65" s="376"/>
      <c r="L65" s="376"/>
      <c r="M65" s="377"/>
    </row>
    <row r="67" spans="3:17" x14ac:dyDescent="0.3">
      <c r="C67" s="99" t="s">
        <v>213</v>
      </c>
    </row>
    <row r="68" spans="3:17" x14ac:dyDescent="0.3">
      <c r="C68" t="s">
        <v>218</v>
      </c>
      <c r="E68" s="100">
        <v>1200</v>
      </c>
      <c r="I68" t="s">
        <v>728</v>
      </c>
    </row>
    <row r="69" spans="3:17" x14ac:dyDescent="0.3">
      <c r="C69" t="s">
        <v>217</v>
      </c>
      <c r="E69" s="100">
        <v>1600</v>
      </c>
    </row>
    <row r="70" spans="3:17" x14ac:dyDescent="0.3">
      <c r="C70" t="s">
        <v>67</v>
      </c>
      <c r="E70" s="100">
        <v>200</v>
      </c>
      <c r="L70" s="168" t="s">
        <v>213</v>
      </c>
      <c r="M70" s="167"/>
      <c r="N70" s="167"/>
      <c r="O70" s="168" t="s">
        <v>727</v>
      </c>
      <c r="P70" s="167"/>
      <c r="Q70" s="166"/>
    </row>
    <row r="71" spans="3:17" x14ac:dyDescent="0.3">
      <c r="C71" t="s">
        <v>216</v>
      </c>
      <c r="E71" s="55">
        <v>0.2</v>
      </c>
      <c r="I71" s="26" t="s">
        <v>214</v>
      </c>
      <c r="J71" s="26" t="s">
        <v>223</v>
      </c>
      <c r="K71" s="26" t="s">
        <v>222</v>
      </c>
      <c r="L71" s="26" t="s">
        <v>726</v>
      </c>
      <c r="M71" s="26" t="s">
        <v>724</v>
      </c>
      <c r="N71" s="26" t="s">
        <v>723</v>
      </c>
      <c r="O71" s="91" t="s">
        <v>725</v>
      </c>
      <c r="P71" s="26" t="s">
        <v>724</v>
      </c>
      <c r="Q71" s="26" t="s">
        <v>723</v>
      </c>
    </row>
    <row r="72" spans="3:17" x14ac:dyDescent="0.3">
      <c r="I72" s="4">
        <v>0</v>
      </c>
      <c r="J72" s="55">
        <v>0.1</v>
      </c>
      <c r="K72" s="100">
        <f t="shared" ref="K72:K80" si="4">E24</f>
        <v>0</v>
      </c>
      <c r="L72" s="98">
        <f t="shared" ref="L72:L80" si="5">J72*D84/SUMPRODUCT($J$72:$J$80,$D$84:$D$92)</f>
        <v>3.6101083032490981E-2</v>
      </c>
      <c r="M72" s="165">
        <f t="shared" ref="M72:M80" si="6">IF($K72&lt;$E$70,$K72,MIN(($K72-$E$70)*$E$71+$E$70,$E$69))</f>
        <v>0</v>
      </c>
      <c r="N72" s="165">
        <f t="shared" ref="N72:N80" si="7">K72-M72</f>
        <v>0</v>
      </c>
      <c r="O72" s="160">
        <f t="shared" ref="O72:O80" si="8">J72*E84/SUMPRODUCT($J$72:$J$80,$E$84:$E$92)</f>
        <v>0.17937219730941706</v>
      </c>
      <c r="P72" s="165">
        <f t="shared" ref="P72:P80" si="9">IF($K72&lt;$D$79,$K72,MIN(($K72-$D$79)*$D$80+$D$79,$D$78))</f>
        <v>0</v>
      </c>
      <c r="Q72" s="165">
        <f t="shared" ref="Q72:Q80" si="10">K72-P72</f>
        <v>0</v>
      </c>
    </row>
    <row r="73" spans="3:17" x14ac:dyDescent="0.3">
      <c r="I73" t="s">
        <v>211</v>
      </c>
      <c r="J73" s="55">
        <v>0.2</v>
      </c>
      <c r="K73" s="100">
        <f t="shared" si="4"/>
        <v>25</v>
      </c>
      <c r="L73" s="98">
        <f t="shared" si="5"/>
        <v>7.2202166064981962E-2</v>
      </c>
      <c r="M73" s="165">
        <f t="shared" si="6"/>
        <v>25</v>
      </c>
      <c r="N73" s="165">
        <f t="shared" si="7"/>
        <v>0</v>
      </c>
      <c r="O73" s="160">
        <f t="shared" si="8"/>
        <v>0.35874439461883412</v>
      </c>
      <c r="P73" s="165">
        <f t="shared" si="9"/>
        <v>25</v>
      </c>
      <c r="Q73" s="165">
        <f t="shared" si="10"/>
        <v>0</v>
      </c>
    </row>
    <row r="74" spans="3:17" x14ac:dyDescent="0.3">
      <c r="I74" t="s">
        <v>210</v>
      </c>
      <c r="J74" s="55">
        <v>0.15</v>
      </c>
      <c r="K74" s="100">
        <f t="shared" si="4"/>
        <v>100</v>
      </c>
      <c r="L74" s="98">
        <f t="shared" si="5"/>
        <v>0.16245487364620936</v>
      </c>
      <c r="M74" s="165">
        <f t="shared" si="6"/>
        <v>100</v>
      </c>
      <c r="N74" s="165">
        <f t="shared" si="7"/>
        <v>0</v>
      </c>
      <c r="O74" s="160">
        <f t="shared" si="8"/>
        <v>0.13452914798206275</v>
      </c>
      <c r="P74" s="165">
        <f t="shared" si="9"/>
        <v>100</v>
      </c>
      <c r="Q74" s="165">
        <f t="shared" si="10"/>
        <v>0</v>
      </c>
    </row>
    <row r="75" spans="3:17" x14ac:dyDescent="0.3">
      <c r="C75" s="99" t="s">
        <v>212</v>
      </c>
      <c r="I75" t="s">
        <v>209</v>
      </c>
      <c r="J75" s="55">
        <v>0.2</v>
      </c>
      <c r="K75" s="100">
        <f t="shared" si="4"/>
        <v>300</v>
      </c>
      <c r="L75" s="98">
        <f t="shared" si="5"/>
        <v>0.21660649819494582</v>
      </c>
      <c r="M75" s="165">
        <f t="shared" si="6"/>
        <v>220</v>
      </c>
      <c r="N75" s="165">
        <f t="shared" si="7"/>
        <v>80</v>
      </c>
      <c r="O75" s="160">
        <f t="shared" si="8"/>
        <v>0.17937219730941706</v>
      </c>
      <c r="P75" s="165">
        <f t="shared" si="9"/>
        <v>300</v>
      </c>
      <c r="Q75" s="165">
        <f t="shared" si="10"/>
        <v>0</v>
      </c>
    </row>
    <row r="76" spans="3:17" x14ac:dyDescent="0.3">
      <c r="C76" t="s">
        <v>218</v>
      </c>
      <c r="D76" s="4">
        <v>900</v>
      </c>
      <c r="I76" t="s">
        <v>208</v>
      </c>
      <c r="J76" s="55">
        <v>0.15</v>
      </c>
      <c r="K76" s="100">
        <f t="shared" si="4"/>
        <v>1600</v>
      </c>
      <c r="L76" s="98">
        <f t="shared" si="5"/>
        <v>0.21660649819494582</v>
      </c>
      <c r="M76" s="165">
        <f t="shared" si="6"/>
        <v>480</v>
      </c>
      <c r="N76" s="165">
        <f t="shared" si="7"/>
        <v>1120</v>
      </c>
      <c r="O76" s="160">
        <f t="shared" si="8"/>
        <v>6.7264573991031376E-2</v>
      </c>
      <c r="P76" s="165">
        <f t="shared" si="9"/>
        <v>1600</v>
      </c>
      <c r="Q76" s="165">
        <f t="shared" si="10"/>
        <v>0</v>
      </c>
    </row>
    <row r="77" spans="3:17" x14ac:dyDescent="0.3">
      <c r="C77" t="s">
        <v>200</v>
      </c>
      <c r="D77" s="4">
        <v>100</v>
      </c>
      <c r="I77" t="s">
        <v>207</v>
      </c>
      <c r="J77" s="55">
        <v>0.1</v>
      </c>
      <c r="K77" s="100">
        <f t="shared" si="4"/>
        <v>4000</v>
      </c>
      <c r="L77" s="98">
        <f t="shared" si="5"/>
        <v>0.14440433212996392</v>
      </c>
      <c r="M77" s="165">
        <f t="shared" si="6"/>
        <v>960</v>
      </c>
      <c r="N77" s="165">
        <f t="shared" si="7"/>
        <v>3040</v>
      </c>
      <c r="O77" s="160">
        <f t="shared" si="8"/>
        <v>4.4843049327354265E-2</v>
      </c>
      <c r="P77" s="165">
        <f t="shared" si="9"/>
        <v>3250</v>
      </c>
      <c r="Q77" s="165">
        <f t="shared" si="10"/>
        <v>750</v>
      </c>
    </row>
    <row r="78" spans="3:17" x14ac:dyDescent="0.3">
      <c r="C78" t="s">
        <v>217</v>
      </c>
      <c r="D78" s="4">
        <v>14000</v>
      </c>
      <c r="I78" t="s">
        <v>206</v>
      </c>
      <c r="J78" s="55">
        <v>0.05</v>
      </c>
      <c r="K78" s="100">
        <f t="shared" si="4"/>
        <v>11000</v>
      </c>
      <c r="L78" s="98">
        <f t="shared" si="5"/>
        <v>7.2202166064981962E-2</v>
      </c>
      <c r="M78" s="165">
        <f t="shared" si="6"/>
        <v>1600</v>
      </c>
      <c r="N78" s="165">
        <f t="shared" si="7"/>
        <v>9400</v>
      </c>
      <c r="O78" s="160">
        <f t="shared" si="8"/>
        <v>2.2421524663677132E-2</v>
      </c>
      <c r="P78" s="165">
        <f t="shared" si="9"/>
        <v>5000</v>
      </c>
      <c r="Q78" s="165">
        <f t="shared" si="10"/>
        <v>6000</v>
      </c>
    </row>
    <row r="79" spans="3:17" x14ac:dyDescent="0.3">
      <c r="C79" t="s">
        <v>67</v>
      </c>
      <c r="D79" s="4">
        <v>3000</v>
      </c>
      <c r="I79" t="s">
        <v>205</v>
      </c>
      <c r="J79" s="55">
        <v>0.03</v>
      </c>
      <c r="K79" s="100">
        <f t="shared" si="4"/>
        <v>25000</v>
      </c>
      <c r="L79" s="98">
        <f t="shared" si="5"/>
        <v>4.3321299638989168E-2</v>
      </c>
      <c r="M79" s="165">
        <f t="shared" si="6"/>
        <v>1600</v>
      </c>
      <c r="N79" s="165">
        <f t="shared" si="7"/>
        <v>23400</v>
      </c>
      <c r="O79" s="160">
        <f t="shared" si="8"/>
        <v>1.3452914798206277E-2</v>
      </c>
      <c r="P79" s="165">
        <f t="shared" si="9"/>
        <v>8500</v>
      </c>
      <c r="Q79" s="165">
        <f t="shared" si="10"/>
        <v>16500</v>
      </c>
    </row>
    <row r="80" spans="3:17" x14ac:dyDescent="0.3">
      <c r="C80" t="s">
        <v>216</v>
      </c>
      <c r="D80" s="98">
        <v>0.25</v>
      </c>
      <c r="I80" s="26" t="s">
        <v>204</v>
      </c>
      <c r="J80" s="102">
        <v>0.02</v>
      </c>
      <c r="K80" s="101">
        <f t="shared" si="4"/>
        <v>60000</v>
      </c>
      <c r="L80" s="164">
        <f t="shared" si="5"/>
        <v>3.6101083032490974E-2</v>
      </c>
      <c r="M80" s="162">
        <f t="shared" si="6"/>
        <v>1600</v>
      </c>
      <c r="N80" s="162">
        <f t="shared" si="7"/>
        <v>58400</v>
      </c>
      <c r="O80" s="163">
        <f t="shared" si="8"/>
        <v>0</v>
      </c>
      <c r="P80" s="162">
        <f t="shared" si="9"/>
        <v>14000</v>
      </c>
      <c r="Q80" s="162">
        <f t="shared" si="10"/>
        <v>46000</v>
      </c>
    </row>
    <row r="81" spans="1:22" x14ac:dyDescent="0.3">
      <c r="L81" s="98">
        <f>SUM(L72:L80)</f>
        <v>0.99999999999999989</v>
      </c>
      <c r="M81" s="9" t="s">
        <v>722</v>
      </c>
      <c r="N81" s="161"/>
      <c r="O81" s="160">
        <f>SUM(O72:O80)</f>
        <v>1</v>
      </c>
      <c r="P81" s="9" t="s">
        <v>721</v>
      </c>
      <c r="Q81" s="9"/>
      <c r="R81" s="9"/>
      <c r="S81" s="9"/>
      <c r="T81" s="9"/>
      <c r="U81" s="9"/>
      <c r="V81" s="9"/>
    </row>
    <row r="82" spans="1:22" x14ac:dyDescent="0.3">
      <c r="C82" t="s">
        <v>215</v>
      </c>
    </row>
    <row r="83" spans="1:22" x14ac:dyDescent="0.3">
      <c r="C83" t="s">
        <v>214</v>
      </c>
      <c r="D83" t="s">
        <v>213</v>
      </c>
      <c r="E83" t="s">
        <v>212</v>
      </c>
      <c r="L83" s="84"/>
      <c r="M83" s="109">
        <f>SUMPRODUCT(M72:M80,$L$72:$L$80)</f>
        <v>550.90252707581226</v>
      </c>
      <c r="N83" s="109">
        <f>SUMPRODUCT(N72:N80,$L$72:$L$80)</f>
        <v>4499.6389891696754</v>
      </c>
      <c r="P83" s="109">
        <f>SUMPRODUCT(P72:P80,$O$72:$O$80)</f>
        <v>556.05381165919277</v>
      </c>
      <c r="Q83" s="109">
        <f>SUMPRODUCT(Q72:Q80,$O$72:$O$80)</f>
        <v>390.13452914798205</v>
      </c>
    </row>
    <row r="84" spans="1:22" x14ac:dyDescent="0.3">
      <c r="C84" s="4">
        <v>0</v>
      </c>
      <c r="D84" s="98">
        <v>0.2</v>
      </c>
      <c r="E84" s="98">
        <v>0.8</v>
      </c>
    </row>
    <row r="85" spans="1:22" x14ac:dyDescent="0.3">
      <c r="C85" t="s">
        <v>211</v>
      </c>
      <c r="D85" s="98">
        <v>0.2</v>
      </c>
      <c r="E85" s="98">
        <v>0.8</v>
      </c>
    </row>
    <row r="86" spans="1:22" x14ac:dyDescent="0.3">
      <c r="C86" t="s">
        <v>210</v>
      </c>
      <c r="D86" s="98">
        <v>0.6</v>
      </c>
      <c r="E86" s="98">
        <v>0.4</v>
      </c>
    </row>
    <row r="87" spans="1:22" x14ac:dyDescent="0.3">
      <c r="C87" t="s">
        <v>209</v>
      </c>
      <c r="D87" s="98">
        <v>0.6</v>
      </c>
      <c r="E87" s="98">
        <v>0.4</v>
      </c>
    </row>
    <row r="88" spans="1:22" x14ac:dyDescent="0.3">
      <c r="C88" t="s">
        <v>208</v>
      </c>
      <c r="D88" s="98">
        <v>0.8</v>
      </c>
      <c r="E88" s="98">
        <v>0.2</v>
      </c>
      <c r="M88" s="57">
        <f>SUMPRODUCT(D84:D92,J72:J80)</f>
        <v>0.55400000000000005</v>
      </c>
      <c r="N88" t="s">
        <v>720</v>
      </c>
      <c r="Q88" s="57">
        <f>SUMPRODUCT(E84:E92,J72:J80)</f>
        <v>0.44600000000000006</v>
      </c>
      <c r="R88" t="s">
        <v>719</v>
      </c>
    </row>
    <row r="89" spans="1:22" x14ac:dyDescent="0.3">
      <c r="C89" t="s">
        <v>207</v>
      </c>
      <c r="D89" s="98">
        <v>0.8</v>
      </c>
      <c r="E89" s="98">
        <v>0.2</v>
      </c>
      <c r="M89" s="5">
        <f>M83</f>
        <v>550.90252707581226</v>
      </c>
      <c r="N89" t="s">
        <v>718</v>
      </c>
      <c r="Q89" s="5">
        <f>P83</f>
        <v>556.05381165919277</v>
      </c>
      <c r="R89" t="s">
        <v>717</v>
      </c>
    </row>
    <row r="90" spans="1:22" x14ac:dyDescent="0.3">
      <c r="C90" t="s">
        <v>206</v>
      </c>
      <c r="D90" s="98">
        <v>0.8</v>
      </c>
      <c r="E90" s="98">
        <v>0.2</v>
      </c>
      <c r="M90" s="109">
        <f>N83</f>
        <v>4499.6389891696754</v>
      </c>
      <c r="N90" t="s">
        <v>716</v>
      </c>
      <c r="Q90" s="109">
        <f>Q83</f>
        <v>390.13452914798205</v>
      </c>
      <c r="R90" t="s">
        <v>715</v>
      </c>
    </row>
    <row r="91" spans="1:22" x14ac:dyDescent="0.3">
      <c r="C91" t="s">
        <v>205</v>
      </c>
      <c r="D91" s="98">
        <v>0.8</v>
      </c>
      <c r="E91" s="98">
        <v>0.2</v>
      </c>
    </row>
    <row r="92" spans="1:22" x14ac:dyDescent="0.3">
      <c r="C92" s="26" t="s">
        <v>204</v>
      </c>
      <c r="D92" s="98">
        <v>1</v>
      </c>
      <c r="E92" s="98">
        <v>0</v>
      </c>
      <c r="Q92" s="5">
        <f>Q90*Q88+M90*M88</f>
        <v>2666.8</v>
      </c>
      <c r="R92" t="s">
        <v>714</v>
      </c>
    </row>
    <row r="94" spans="1:22" s="26" customFormat="1" x14ac:dyDescent="0.3">
      <c r="A94" s="26" t="s">
        <v>203</v>
      </c>
    </row>
    <row r="95" spans="1:22" ht="15" thickBot="1" x14ac:dyDescent="0.35"/>
    <row r="96" spans="1:22" ht="15" thickBot="1" x14ac:dyDescent="0.35">
      <c r="C96" s="375" t="s">
        <v>8</v>
      </c>
      <c r="D96" s="376"/>
      <c r="E96" s="376"/>
      <c r="F96" s="377"/>
      <c r="I96" s="375" t="s">
        <v>3</v>
      </c>
      <c r="J96" s="376"/>
      <c r="K96" s="376"/>
      <c r="L96" s="376"/>
      <c r="M96" s="377"/>
    </row>
    <row r="99" spans="3:10" x14ac:dyDescent="0.3">
      <c r="C99" s="4">
        <v>1200</v>
      </c>
      <c r="D99" t="s">
        <v>202</v>
      </c>
      <c r="I99" t="s">
        <v>713</v>
      </c>
    </row>
    <row r="100" spans="3:10" x14ac:dyDescent="0.3">
      <c r="C100" s="4">
        <v>900</v>
      </c>
      <c r="D100" t="s">
        <v>201</v>
      </c>
      <c r="I100" s="109">
        <f>L33</f>
        <v>2828</v>
      </c>
      <c r="J100" t="s">
        <v>711</v>
      </c>
    </row>
    <row r="101" spans="3:10" x14ac:dyDescent="0.3">
      <c r="I101" s="109">
        <f>I100-C99</f>
        <v>1628</v>
      </c>
      <c r="J101" t="s">
        <v>708</v>
      </c>
    </row>
    <row r="102" spans="3:10" x14ac:dyDescent="0.3">
      <c r="C102" s="4">
        <v>100</v>
      </c>
      <c r="D102" t="s">
        <v>200</v>
      </c>
    </row>
    <row r="103" spans="3:10" x14ac:dyDescent="0.3">
      <c r="I103" t="s">
        <v>712</v>
      </c>
    </row>
    <row r="104" spans="3:10" x14ac:dyDescent="0.3">
      <c r="I104" s="109">
        <f>Q92</f>
        <v>2666.8</v>
      </c>
      <c r="J104" t="s">
        <v>711</v>
      </c>
    </row>
    <row r="105" spans="3:10" x14ac:dyDescent="0.3">
      <c r="I105" s="56">
        <f>C99*M88+C100*Q88</f>
        <v>1066.2</v>
      </c>
      <c r="J105" t="s">
        <v>710</v>
      </c>
    </row>
    <row r="106" spans="3:10" x14ac:dyDescent="0.3">
      <c r="I106" s="56">
        <f>C102*Q88</f>
        <v>44.600000000000009</v>
      </c>
      <c r="J106" t="s">
        <v>709</v>
      </c>
    </row>
    <row r="107" spans="3:10" x14ac:dyDescent="0.3">
      <c r="I107" s="109">
        <f>I104-I105+I106</f>
        <v>1645.2</v>
      </c>
      <c r="J107" t="s">
        <v>708</v>
      </c>
    </row>
    <row r="109" spans="3:10" x14ac:dyDescent="0.3">
      <c r="I109" s="5">
        <f>I107-I101</f>
        <v>17.200000000000045</v>
      </c>
      <c r="J109" t="s">
        <v>707</v>
      </c>
    </row>
  </sheetData>
  <mergeCells count="9">
    <mergeCell ref="C96:F96"/>
    <mergeCell ref="I96:M96"/>
    <mergeCell ref="C10:F10"/>
    <mergeCell ref="C14:G14"/>
    <mergeCell ref="I14:M14"/>
    <mergeCell ref="I50:J50"/>
    <mergeCell ref="C60:F60"/>
    <mergeCell ref="C65:G65"/>
    <mergeCell ref="I65:M6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
  <sheetViews>
    <sheetView workbookViewId="0">
      <selection activeCell="H41" sqref="H39:H41"/>
    </sheetView>
  </sheetViews>
  <sheetFormatPr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E5FC9-A713-4A51-9BB7-A80205E4345E}">
  <sheetPr>
    <tabColor theme="5" tint="0.39997558519241921"/>
  </sheetPr>
  <dimension ref="A1:M48"/>
  <sheetViews>
    <sheetView zoomScaleNormal="100" workbookViewId="0">
      <pane xSplit="2" ySplit="13" topLeftCell="C14" activePane="bottomRight" state="frozen"/>
      <selection activeCell="B5" sqref="B5"/>
      <selection pane="topRight" activeCell="B5" sqref="B5"/>
      <selection pane="bottomLeft" activeCell="B5" sqref="B5"/>
      <selection pane="bottomRight" activeCell="B5" sqref="B5"/>
    </sheetView>
  </sheetViews>
  <sheetFormatPr defaultRowHeight="14.4" x14ac:dyDescent="0.3"/>
  <cols>
    <col min="3" max="3" width="17.88671875" customWidth="1"/>
    <col min="4" max="4" width="22" customWidth="1"/>
    <col min="5" max="8" width="9.109375" bestFit="1" customWidth="1"/>
    <col min="9" max="9" width="13.109375" bestFit="1" customWidth="1"/>
    <col min="10" max="10" width="19.88671875" bestFit="1" customWidth="1"/>
    <col min="11" max="12" width="9.109375" bestFit="1" customWidth="1"/>
    <col min="13" max="14" width="9.88671875" bestFit="1" customWidth="1"/>
    <col min="15" max="16" width="9.109375" bestFit="1" customWidth="1"/>
    <col min="17" max="17" width="12.109375" customWidth="1"/>
    <col min="18" max="18" width="9.109375" bestFit="1" customWidth="1"/>
    <col min="19" max="19" width="6" customWidth="1"/>
  </cols>
  <sheetData>
    <row r="1" spans="1:13" ht="15" thickBot="1" x14ac:dyDescent="0.35">
      <c r="A1" t="s">
        <v>246</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6" spans="1:13" ht="15" thickBot="1" x14ac:dyDescent="0.35"/>
    <row r="7" spans="1:13" ht="15" thickBot="1" x14ac:dyDescent="0.35">
      <c r="C7" s="375" t="s">
        <v>8</v>
      </c>
      <c r="D7" s="376"/>
      <c r="E7" s="376"/>
      <c r="F7" s="377"/>
    </row>
    <row r="9" spans="1:13" x14ac:dyDescent="0.3">
      <c r="D9" t="s">
        <v>245</v>
      </c>
    </row>
    <row r="10" spans="1:13" x14ac:dyDescent="0.3">
      <c r="C10">
        <v>0</v>
      </c>
      <c r="D10" t="s">
        <v>244</v>
      </c>
    </row>
    <row r="11" spans="1:13" x14ac:dyDescent="0.3">
      <c r="C11">
        <v>0</v>
      </c>
      <c r="D11" t="s">
        <v>243</v>
      </c>
    </row>
    <row r="12" spans="1:13" x14ac:dyDescent="0.3">
      <c r="C12">
        <v>0</v>
      </c>
      <c r="D12" t="s">
        <v>242</v>
      </c>
    </row>
    <row r="13" spans="1:13" x14ac:dyDescent="0.3">
      <c r="D13" t="s">
        <v>241</v>
      </c>
    </row>
    <row r="14" spans="1:13" ht="15" thickBot="1" x14ac:dyDescent="0.35"/>
    <row r="15" spans="1:13" ht="15" thickBot="1" x14ac:dyDescent="0.35">
      <c r="C15" s="375" t="s">
        <v>4</v>
      </c>
      <c r="D15" s="376"/>
      <c r="E15" s="376"/>
      <c r="F15" s="376"/>
      <c r="G15" s="377"/>
      <c r="I15" s="375" t="s">
        <v>3</v>
      </c>
      <c r="J15" s="376"/>
      <c r="K15" s="376"/>
      <c r="L15" s="376"/>
      <c r="M15" s="377"/>
    </row>
    <row r="16" spans="1:13" s="26" customFormat="1" x14ac:dyDescent="0.3">
      <c r="B16" s="26" t="s">
        <v>27</v>
      </c>
    </row>
    <row r="18" spans="3:7" x14ac:dyDescent="0.3">
      <c r="C18" t="s">
        <v>240</v>
      </c>
    </row>
    <row r="19" spans="3:7" x14ac:dyDescent="0.3">
      <c r="E19" t="s">
        <v>239</v>
      </c>
      <c r="F19" t="s">
        <v>238</v>
      </c>
      <c r="G19" t="s">
        <v>237</v>
      </c>
    </row>
    <row r="20" spans="3:7" x14ac:dyDescent="0.3">
      <c r="C20" t="s">
        <v>25</v>
      </c>
      <c r="D20" t="s">
        <v>22</v>
      </c>
      <c r="E20">
        <v>45</v>
      </c>
      <c r="F20">
        <v>50</v>
      </c>
      <c r="G20">
        <v>55</v>
      </c>
    </row>
    <row r="21" spans="3:7" x14ac:dyDescent="0.3">
      <c r="D21" t="s">
        <v>21</v>
      </c>
      <c r="E21">
        <v>200</v>
      </c>
      <c r="F21">
        <v>190</v>
      </c>
      <c r="G21">
        <v>205</v>
      </c>
    </row>
    <row r="22" spans="3:7" x14ac:dyDescent="0.3">
      <c r="D22" t="s">
        <v>20</v>
      </c>
      <c r="E22">
        <v>235</v>
      </c>
      <c r="F22">
        <v>245</v>
      </c>
      <c r="G22">
        <v>250</v>
      </c>
    </row>
    <row r="23" spans="3:7" x14ac:dyDescent="0.3">
      <c r="D23" t="s">
        <v>19</v>
      </c>
      <c r="E23">
        <v>2585</v>
      </c>
      <c r="F23">
        <v>2675</v>
      </c>
      <c r="G23">
        <v>2700</v>
      </c>
    </row>
    <row r="24" spans="3:7" x14ac:dyDescent="0.3">
      <c r="C24" t="s">
        <v>24</v>
      </c>
      <c r="D24" t="s">
        <v>22</v>
      </c>
      <c r="E24">
        <v>0.7</v>
      </c>
      <c r="F24">
        <v>0.75</v>
      </c>
      <c r="G24">
        <v>0.75</v>
      </c>
    </row>
    <row r="25" spans="3:7" x14ac:dyDescent="0.3">
      <c r="D25" t="s">
        <v>21</v>
      </c>
      <c r="E25">
        <v>0.15</v>
      </c>
      <c r="F25">
        <v>0.2</v>
      </c>
      <c r="G25">
        <v>0.25</v>
      </c>
    </row>
    <row r="26" spans="3:7" x14ac:dyDescent="0.3">
      <c r="D26" t="s">
        <v>20</v>
      </c>
      <c r="E26">
        <v>0.1</v>
      </c>
      <c r="F26">
        <v>0.12</v>
      </c>
      <c r="G26">
        <v>0.15</v>
      </c>
    </row>
    <row r="27" spans="3:7" x14ac:dyDescent="0.3">
      <c r="D27" t="s">
        <v>19</v>
      </c>
      <c r="E27">
        <v>0.08</v>
      </c>
      <c r="F27">
        <v>0.08</v>
      </c>
      <c r="G27">
        <v>0.1</v>
      </c>
    </row>
    <row r="28" spans="3:7" x14ac:dyDescent="0.3">
      <c r="C28" t="s">
        <v>23</v>
      </c>
      <c r="D28" t="s">
        <v>22</v>
      </c>
      <c r="E28">
        <v>1.5</v>
      </c>
      <c r="F28">
        <v>1.5</v>
      </c>
      <c r="G28">
        <v>2</v>
      </c>
    </row>
    <row r="29" spans="3:7" x14ac:dyDescent="0.3">
      <c r="D29" t="s">
        <v>21</v>
      </c>
      <c r="E29">
        <v>1.5</v>
      </c>
      <c r="F29">
        <v>1.5</v>
      </c>
      <c r="G29">
        <v>2</v>
      </c>
    </row>
    <row r="30" spans="3:7" x14ac:dyDescent="0.3">
      <c r="D30" t="s">
        <v>20</v>
      </c>
      <c r="E30">
        <v>1.5</v>
      </c>
      <c r="F30">
        <v>1.5</v>
      </c>
      <c r="G30">
        <v>2</v>
      </c>
    </row>
    <row r="31" spans="3:7" x14ac:dyDescent="0.3">
      <c r="D31" t="s">
        <v>19</v>
      </c>
      <c r="E31">
        <v>1.5</v>
      </c>
      <c r="F31">
        <v>1.5</v>
      </c>
      <c r="G31">
        <v>2</v>
      </c>
    </row>
    <row r="34" spans="2:7" x14ac:dyDescent="0.3">
      <c r="C34" t="s">
        <v>236</v>
      </c>
      <c r="D34" t="s">
        <v>235</v>
      </c>
      <c r="E34" t="s">
        <v>234</v>
      </c>
      <c r="F34" t="s">
        <v>233</v>
      </c>
      <c r="G34" t="s">
        <v>232</v>
      </c>
    </row>
    <row r="35" spans="2:7" ht="15.6" x14ac:dyDescent="0.3">
      <c r="C35" t="s">
        <v>231</v>
      </c>
      <c r="D35" t="s">
        <v>22</v>
      </c>
      <c r="E35" s="104">
        <v>0.5</v>
      </c>
      <c r="F35" s="103">
        <v>0</v>
      </c>
      <c r="G35" s="105">
        <v>5</v>
      </c>
    </row>
    <row r="36" spans="2:7" ht="15.6" x14ac:dyDescent="0.3">
      <c r="C36" t="s">
        <v>231</v>
      </c>
      <c r="D36" t="s">
        <v>21</v>
      </c>
      <c r="E36" s="104">
        <v>0.2</v>
      </c>
      <c r="F36" s="103">
        <v>0.2</v>
      </c>
      <c r="G36" s="105">
        <v>20</v>
      </c>
    </row>
    <row r="37" spans="2:7" ht="15.6" x14ac:dyDescent="0.3">
      <c r="C37" t="s">
        <v>231</v>
      </c>
      <c r="D37" t="s">
        <v>20</v>
      </c>
      <c r="E37" s="104">
        <v>0.1</v>
      </c>
      <c r="F37" s="103">
        <v>0</v>
      </c>
      <c r="G37" s="103">
        <v>0.45</v>
      </c>
    </row>
    <row r="38" spans="2:7" ht="15.6" x14ac:dyDescent="0.3">
      <c r="C38" t="s">
        <v>231</v>
      </c>
      <c r="D38" t="s">
        <v>19</v>
      </c>
      <c r="E38" s="104">
        <v>0.05</v>
      </c>
      <c r="F38" s="103">
        <v>0.1</v>
      </c>
      <c r="G38" s="103">
        <v>0.25</v>
      </c>
    </row>
    <row r="39" spans="2:7" ht="15.6" x14ac:dyDescent="0.3">
      <c r="C39" t="s">
        <v>230</v>
      </c>
      <c r="D39" t="s">
        <v>22</v>
      </c>
      <c r="E39" s="104">
        <v>0.1</v>
      </c>
      <c r="F39" s="103">
        <v>0</v>
      </c>
      <c r="G39" s="105">
        <v>10</v>
      </c>
    </row>
    <row r="40" spans="2:7" ht="15.6" x14ac:dyDescent="0.3">
      <c r="C40" t="s">
        <v>230</v>
      </c>
      <c r="D40" t="s">
        <v>21</v>
      </c>
      <c r="E40" s="104">
        <v>0.03</v>
      </c>
      <c r="F40" s="103">
        <v>0.2</v>
      </c>
      <c r="G40" s="105">
        <v>40</v>
      </c>
    </row>
    <row r="41" spans="2:7" ht="15.6" x14ac:dyDescent="0.3">
      <c r="C41" t="s">
        <v>230</v>
      </c>
      <c r="D41" t="s">
        <v>20</v>
      </c>
      <c r="E41" s="104">
        <v>0.02</v>
      </c>
      <c r="F41" s="103">
        <v>0</v>
      </c>
      <c r="G41" s="103">
        <v>0.45</v>
      </c>
    </row>
    <row r="43" spans="2:7" s="26" customFormat="1" x14ac:dyDescent="0.3">
      <c r="B43" s="26" t="s">
        <v>18</v>
      </c>
    </row>
    <row r="45" spans="2:7" x14ac:dyDescent="0.3">
      <c r="C45">
        <v>0.1</v>
      </c>
      <c r="D45" t="s">
        <v>229</v>
      </c>
    </row>
    <row r="46" spans="2:7" x14ac:dyDescent="0.3">
      <c r="C46">
        <v>0.25</v>
      </c>
      <c r="D46" t="s">
        <v>228</v>
      </c>
    </row>
    <row r="47" spans="2:7" x14ac:dyDescent="0.3">
      <c r="C47">
        <v>0</v>
      </c>
      <c r="D47" t="s">
        <v>227</v>
      </c>
    </row>
    <row r="48" spans="2:7" x14ac:dyDescent="0.3">
      <c r="D48" t="s">
        <v>226</v>
      </c>
    </row>
  </sheetData>
  <mergeCells count="3">
    <mergeCell ref="C7:F7"/>
    <mergeCell ref="C15:G15"/>
    <mergeCell ref="I15:M15"/>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6BCA8-8B15-4648-B8D8-DF0B7A851C9A}">
  <sheetPr>
    <tabColor theme="9" tint="0.59999389629810485"/>
  </sheetPr>
  <dimension ref="A1:AE62"/>
  <sheetViews>
    <sheetView zoomScaleNormal="100" workbookViewId="0">
      <pane xSplit="2" ySplit="13" topLeftCell="C14" activePane="bottomRight" state="frozen"/>
      <selection activeCell="I48" sqref="I48"/>
      <selection pane="topRight" activeCell="I48" sqref="I48"/>
      <selection pane="bottomLeft" activeCell="I48" sqref="I48"/>
      <selection pane="bottomRight" activeCell="I48" sqref="I48"/>
    </sheetView>
  </sheetViews>
  <sheetFormatPr defaultRowHeight="14.4" x14ac:dyDescent="0.3"/>
  <cols>
    <col min="3" max="3" width="17.88671875" customWidth="1"/>
    <col min="4" max="4" width="22" customWidth="1"/>
    <col min="5" max="8" width="9.109375" bestFit="1" customWidth="1"/>
    <col min="9" max="9" width="13.109375" bestFit="1" customWidth="1"/>
    <col min="10" max="10" width="19.88671875" bestFit="1" customWidth="1"/>
    <col min="11" max="12" width="9.109375" bestFit="1" customWidth="1"/>
    <col min="13" max="14" width="9.88671875" bestFit="1" customWidth="1"/>
    <col min="15" max="16" width="9.109375" bestFit="1" customWidth="1"/>
    <col min="17" max="17" width="12.109375" customWidth="1"/>
    <col min="18" max="18" width="9.109375" bestFit="1" customWidth="1"/>
    <col min="19" max="19" width="6" customWidth="1"/>
  </cols>
  <sheetData>
    <row r="1" spans="1:13" ht="15" thickBot="1" x14ac:dyDescent="0.35">
      <c r="A1" t="s">
        <v>246</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6" spans="1:13" ht="15" thickBot="1" x14ac:dyDescent="0.35"/>
    <row r="7" spans="1:13" ht="15" thickBot="1" x14ac:dyDescent="0.35">
      <c r="C7" s="375" t="s">
        <v>8</v>
      </c>
      <c r="D7" s="376"/>
      <c r="E7" s="376"/>
      <c r="F7" s="377"/>
    </row>
    <row r="9" spans="1:13" x14ac:dyDescent="0.3">
      <c r="D9" t="s">
        <v>245</v>
      </c>
    </row>
    <row r="10" spans="1:13" x14ac:dyDescent="0.3">
      <c r="C10">
        <v>0</v>
      </c>
      <c r="D10" t="s">
        <v>244</v>
      </c>
    </row>
    <row r="11" spans="1:13" x14ac:dyDescent="0.3">
      <c r="C11">
        <v>0</v>
      </c>
      <c r="D11" t="s">
        <v>243</v>
      </c>
    </row>
    <row r="12" spans="1:13" x14ac:dyDescent="0.3">
      <c r="C12">
        <v>0</v>
      </c>
      <c r="D12" t="s">
        <v>242</v>
      </c>
    </row>
    <row r="13" spans="1:13" x14ac:dyDescent="0.3">
      <c r="D13" t="s">
        <v>241</v>
      </c>
    </row>
    <row r="14" spans="1:13" ht="15" thickBot="1" x14ac:dyDescent="0.35"/>
    <row r="15" spans="1:13" ht="15" thickBot="1" x14ac:dyDescent="0.35">
      <c r="C15" s="375" t="s">
        <v>4</v>
      </c>
      <c r="D15" s="376"/>
      <c r="E15" s="376"/>
      <c r="F15" s="376"/>
      <c r="G15" s="377"/>
      <c r="I15" s="375" t="s">
        <v>3</v>
      </c>
      <c r="J15" s="376"/>
      <c r="K15" s="376"/>
      <c r="L15" s="376"/>
      <c r="M15" s="377"/>
    </row>
    <row r="16" spans="1:13" s="26" customFormat="1" x14ac:dyDescent="0.3">
      <c r="B16" s="26" t="s">
        <v>27</v>
      </c>
    </row>
    <row r="18" spans="3:18" x14ac:dyDescent="0.3">
      <c r="C18" t="s">
        <v>240</v>
      </c>
    </row>
    <row r="19" spans="3:18" x14ac:dyDescent="0.3">
      <c r="E19" t="s">
        <v>239</v>
      </c>
      <c r="F19" t="s">
        <v>238</v>
      </c>
      <c r="G19" t="s">
        <v>237</v>
      </c>
    </row>
    <row r="20" spans="3:18" x14ac:dyDescent="0.3">
      <c r="C20" t="s">
        <v>25</v>
      </c>
      <c r="D20" t="s">
        <v>22</v>
      </c>
      <c r="E20">
        <v>45</v>
      </c>
      <c r="F20">
        <v>50</v>
      </c>
      <c r="G20">
        <v>55</v>
      </c>
    </row>
    <row r="21" spans="3:18" x14ac:dyDescent="0.3">
      <c r="D21" t="s">
        <v>21</v>
      </c>
      <c r="E21">
        <v>200</v>
      </c>
      <c r="F21">
        <v>190</v>
      </c>
      <c r="G21">
        <v>205</v>
      </c>
    </row>
    <row r="22" spans="3:18" x14ac:dyDescent="0.3">
      <c r="D22" t="s">
        <v>20</v>
      </c>
      <c r="E22">
        <v>235</v>
      </c>
      <c r="F22">
        <v>245</v>
      </c>
      <c r="G22">
        <v>250</v>
      </c>
    </row>
    <row r="23" spans="3:18" x14ac:dyDescent="0.3">
      <c r="D23" t="s">
        <v>19</v>
      </c>
      <c r="E23">
        <v>2585</v>
      </c>
      <c r="F23">
        <v>2675</v>
      </c>
      <c r="G23">
        <v>2700</v>
      </c>
      <c r="I23">
        <v>3</v>
      </c>
      <c r="J23" s="9" t="s">
        <v>770</v>
      </c>
      <c r="K23" s="9"/>
      <c r="L23" s="9"/>
      <c r="M23" s="9"/>
    </row>
    <row r="24" spans="3:18" x14ac:dyDescent="0.3">
      <c r="C24" t="s">
        <v>24</v>
      </c>
      <c r="D24" t="s">
        <v>22</v>
      </c>
      <c r="E24">
        <v>0.7</v>
      </c>
      <c r="F24">
        <v>0.75</v>
      </c>
      <c r="G24">
        <v>0.75</v>
      </c>
    </row>
    <row r="25" spans="3:18" x14ac:dyDescent="0.3">
      <c r="D25" t="s">
        <v>21</v>
      </c>
      <c r="E25">
        <v>0.15</v>
      </c>
      <c r="F25">
        <v>0.2</v>
      </c>
      <c r="G25">
        <v>0.25</v>
      </c>
      <c r="I25" s="26" t="s">
        <v>236</v>
      </c>
      <c r="J25" s="26" t="s">
        <v>235</v>
      </c>
      <c r="K25" s="26" t="s">
        <v>765</v>
      </c>
      <c r="L25" s="26" t="s">
        <v>764</v>
      </c>
      <c r="M25" s="26" t="s">
        <v>763</v>
      </c>
      <c r="N25" s="26" t="s">
        <v>652</v>
      </c>
      <c r="O25" s="26" t="s">
        <v>762</v>
      </c>
      <c r="P25" s="26" t="s">
        <v>761</v>
      </c>
      <c r="Q25" s="26" t="s">
        <v>760</v>
      </c>
      <c r="R25" s="26" t="s">
        <v>645</v>
      </c>
    </row>
    <row r="26" spans="3:18" x14ac:dyDescent="0.3">
      <c r="D26" t="s">
        <v>20</v>
      </c>
      <c r="E26">
        <v>0.1</v>
      </c>
      <c r="F26">
        <v>0.12</v>
      </c>
      <c r="G26">
        <v>0.15</v>
      </c>
      <c r="I26" t="s">
        <v>231</v>
      </c>
      <c r="J26" t="s">
        <v>22</v>
      </c>
      <c r="K26" s="4">
        <f>G20</f>
        <v>55</v>
      </c>
      <c r="L26" s="98">
        <f>G24</f>
        <v>0.75</v>
      </c>
      <c r="M26" s="56">
        <f t="shared" ref="M26:M32" si="0">K26*(1-L26)</f>
        <v>13.75</v>
      </c>
      <c r="N26" s="56">
        <f>(M26+G28+$C$12)*(1+$C$11)</f>
        <v>15.75</v>
      </c>
      <c r="O26" s="56">
        <f>G35</f>
        <v>5</v>
      </c>
      <c r="P26" s="56">
        <f t="shared" ref="P26:P32" si="1">N26*F35</f>
        <v>0</v>
      </c>
      <c r="Q26" s="56">
        <f t="shared" ref="Q26:Q32" si="2">N26-O26-P26</f>
        <v>10.75</v>
      </c>
      <c r="R26" s="98">
        <f t="shared" ref="R26:R32" si="3">E35</f>
        <v>0.5</v>
      </c>
    </row>
    <row r="27" spans="3:18" x14ac:dyDescent="0.3">
      <c r="D27" t="s">
        <v>19</v>
      </c>
      <c r="E27">
        <v>0.08</v>
      </c>
      <c r="F27">
        <v>0.08</v>
      </c>
      <c r="G27">
        <v>0.1</v>
      </c>
      <c r="I27" t="s">
        <v>231</v>
      </c>
      <c r="J27" t="s">
        <v>21</v>
      </c>
      <c r="K27" s="4">
        <f>G21</f>
        <v>205</v>
      </c>
      <c r="L27" s="98">
        <f>G25</f>
        <v>0.25</v>
      </c>
      <c r="M27" s="56">
        <f t="shared" si="0"/>
        <v>153.75</v>
      </c>
      <c r="N27" s="56">
        <f>(M27+G29+$C$12)*(1+$C$11)</f>
        <v>155.75</v>
      </c>
      <c r="O27" s="56">
        <f>G36</f>
        <v>20</v>
      </c>
      <c r="P27" s="56">
        <f t="shared" si="1"/>
        <v>31.150000000000002</v>
      </c>
      <c r="Q27" s="56">
        <f t="shared" si="2"/>
        <v>104.6</v>
      </c>
      <c r="R27" s="98">
        <f t="shared" si="3"/>
        <v>0.2</v>
      </c>
    </row>
    <row r="28" spans="3:18" x14ac:dyDescent="0.3">
      <c r="C28" t="s">
        <v>23</v>
      </c>
      <c r="D28" t="s">
        <v>22</v>
      </c>
      <c r="E28">
        <v>1.5</v>
      </c>
      <c r="F28">
        <v>1.5</v>
      </c>
      <c r="G28">
        <v>2</v>
      </c>
      <c r="I28" t="s">
        <v>231</v>
      </c>
      <c r="J28" t="s">
        <v>20</v>
      </c>
      <c r="K28" s="4">
        <f>G22</f>
        <v>250</v>
      </c>
      <c r="L28" s="98">
        <f>G26</f>
        <v>0.15</v>
      </c>
      <c r="M28" s="56">
        <f t="shared" si="0"/>
        <v>212.5</v>
      </c>
      <c r="N28" s="56">
        <f>(M28+G30+$C$12)*(1+$C$11)</f>
        <v>214.5</v>
      </c>
      <c r="O28" s="56">
        <f>G37*N28</f>
        <v>96.525000000000006</v>
      </c>
      <c r="P28" s="56">
        <f t="shared" si="1"/>
        <v>0</v>
      </c>
      <c r="Q28" s="56">
        <f t="shared" si="2"/>
        <v>117.97499999999999</v>
      </c>
      <c r="R28" s="98">
        <f t="shared" si="3"/>
        <v>0.1</v>
      </c>
    </row>
    <row r="29" spans="3:18" x14ac:dyDescent="0.3">
      <c r="D29" t="s">
        <v>21</v>
      </c>
      <c r="E29">
        <v>1.5</v>
      </c>
      <c r="F29">
        <v>1.5</v>
      </c>
      <c r="G29">
        <v>2</v>
      </c>
      <c r="I29" t="s">
        <v>231</v>
      </c>
      <c r="J29" t="s">
        <v>19</v>
      </c>
      <c r="K29" s="4">
        <f>G23</f>
        <v>2700</v>
      </c>
      <c r="L29" s="98">
        <f>G27</f>
        <v>0.1</v>
      </c>
      <c r="M29" s="56">
        <f t="shared" si="0"/>
        <v>2430</v>
      </c>
      <c r="N29" s="56">
        <f>(M29+G31+$C$12)*(1+$C$11)</f>
        <v>2432</v>
      </c>
      <c r="O29" s="56">
        <f>G38*N29</f>
        <v>608</v>
      </c>
      <c r="P29" s="56">
        <f t="shared" si="1"/>
        <v>243.20000000000002</v>
      </c>
      <c r="Q29" s="56">
        <f t="shared" si="2"/>
        <v>1580.8</v>
      </c>
      <c r="R29" s="98">
        <f t="shared" si="3"/>
        <v>0.05</v>
      </c>
    </row>
    <row r="30" spans="3:18" x14ac:dyDescent="0.3">
      <c r="D30" t="s">
        <v>20</v>
      </c>
      <c r="E30">
        <v>1.5</v>
      </c>
      <c r="F30">
        <v>1.5</v>
      </c>
      <c r="G30">
        <v>2</v>
      </c>
      <c r="I30" t="s">
        <v>230</v>
      </c>
      <c r="J30" t="s">
        <v>22</v>
      </c>
      <c r="K30" s="4">
        <f>$I$23*G20</f>
        <v>165</v>
      </c>
      <c r="L30" s="98">
        <f>L26</f>
        <v>0.75</v>
      </c>
      <c r="M30" s="56">
        <f t="shared" si="0"/>
        <v>41.25</v>
      </c>
      <c r="N30" s="56">
        <f>(M30+$C$10+$C$12)*(1+$C$11)</f>
        <v>41.25</v>
      </c>
      <c r="O30" s="56">
        <f>G39</f>
        <v>10</v>
      </c>
      <c r="P30" s="56">
        <f t="shared" si="1"/>
        <v>0</v>
      </c>
      <c r="Q30" s="56">
        <f t="shared" si="2"/>
        <v>31.25</v>
      </c>
      <c r="R30" s="98">
        <f t="shared" si="3"/>
        <v>0.1</v>
      </c>
    </row>
    <row r="31" spans="3:18" x14ac:dyDescent="0.3">
      <c r="D31" t="s">
        <v>19</v>
      </c>
      <c r="E31">
        <v>1.5</v>
      </c>
      <c r="F31">
        <v>1.5</v>
      </c>
      <c r="G31">
        <v>2</v>
      </c>
      <c r="I31" t="s">
        <v>230</v>
      </c>
      <c r="J31" t="s">
        <v>21</v>
      </c>
      <c r="K31" s="4">
        <f>$I$23*G21</f>
        <v>615</v>
      </c>
      <c r="L31" s="98">
        <f>L27</f>
        <v>0.25</v>
      </c>
      <c r="M31" s="56">
        <f t="shared" si="0"/>
        <v>461.25</v>
      </c>
      <c r="N31" s="56">
        <f>(M31+$C$10+$C$12)*(1+$C$11)</f>
        <v>461.25</v>
      </c>
      <c r="O31" s="56">
        <f>G40</f>
        <v>40</v>
      </c>
      <c r="P31" s="56">
        <f t="shared" si="1"/>
        <v>92.25</v>
      </c>
      <c r="Q31" s="56">
        <f t="shared" si="2"/>
        <v>329</v>
      </c>
      <c r="R31" s="98">
        <f t="shared" si="3"/>
        <v>0.03</v>
      </c>
    </row>
    <row r="32" spans="3:18" x14ac:dyDescent="0.3">
      <c r="I32" s="26" t="s">
        <v>230</v>
      </c>
      <c r="J32" s="26" t="s">
        <v>20</v>
      </c>
      <c r="K32" s="176">
        <f>$I$23*G22</f>
        <v>750</v>
      </c>
      <c r="L32" s="164">
        <f>L28</f>
        <v>0.15</v>
      </c>
      <c r="M32" s="175">
        <f t="shared" si="0"/>
        <v>637.5</v>
      </c>
      <c r="N32" s="175">
        <f>(M32+$C$10+$C$12)*(1+$C$11)</f>
        <v>637.5</v>
      </c>
      <c r="O32" s="175">
        <f>G41*N32</f>
        <v>286.875</v>
      </c>
      <c r="P32" s="175">
        <f t="shared" si="1"/>
        <v>0</v>
      </c>
      <c r="Q32" s="175">
        <f t="shared" si="2"/>
        <v>350.625</v>
      </c>
      <c r="R32" s="164">
        <f t="shared" si="3"/>
        <v>0.02</v>
      </c>
    </row>
    <row r="33" spans="2:17" x14ac:dyDescent="0.3">
      <c r="O33" s="5">
        <f>SUMPRODUCT(O26:O32,$R$26:$R$32)</f>
        <v>54.490000000000009</v>
      </c>
      <c r="P33" s="56"/>
      <c r="Q33" s="5">
        <f>SUMPRODUCT(Q26:Q32,$R$26:$R$32)</f>
        <v>137.13999999999999</v>
      </c>
    </row>
    <row r="34" spans="2:17" x14ac:dyDescent="0.3">
      <c r="C34" t="s">
        <v>236</v>
      </c>
      <c r="D34" t="s">
        <v>235</v>
      </c>
      <c r="E34" t="s">
        <v>234</v>
      </c>
      <c r="F34" t="s">
        <v>233</v>
      </c>
      <c r="G34" t="s">
        <v>232</v>
      </c>
    </row>
    <row r="35" spans="2:17" ht="15.6" x14ac:dyDescent="0.3">
      <c r="C35" t="s">
        <v>231</v>
      </c>
      <c r="D35" t="s">
        <v>22</v>
      </c>
      <c r="E35" s="104">
        <v>0.5</v>
      </c>
      <c r="F35" s="103">
        <v>0</v>
      </c>
      <c r="G35" s="105">
        <v>5</v>
      </c>
    </row>
    <row r="36" spans="2:17" ht="15.6" x14ac:dyDescent="0.3">
      <c r="C36" t="s">
        <v>231</v>
      </c>
      <c r="D36" t="s">
        <v>21</v>
      </c>
      <c r="E36" s="104">
        <v>0.2</v>
      </c>
      <c r="F36" s="103">
        <v>0.2</v>
      </c>
      <c r="G36" s="105">
        <v>20</v>
      </c>
    </row>
    <row r="37" spans="2:17" ht="15.6" x14ac:dyDescent="0.3">
      <c r="C37" t="s">
        <v>231</v>
      </c>
      <c r="D37" t="s">
        <v>20</v>
      </c>
      <c r="E37" s="104">
        <v>0.1</v>
      </c>
      <c r="F37" s="103">
        <v>0</v>
      </c>
      <c r="G37" s="103">
        <v>0.45</v>
      </c>
    </row>
    <row r="38" spans="2:17" ht="15.6" x14ac:dyDescent="0.3">
      <c r="C38" t="s">
        <v>231</v>
      </c>
      <c r="D38" t="s">
        <v>19</v>
      </c>
      <c r="E38" s="104">
        <v>0.05</v>
      </c>
      <c r="F38" s="103">
        <v>0.1</v>
      </c>
      <c r="G38" s="103">
        <v>0.25</v>
      </c>
    </row>
    <row r="39" spans="2:17" ht="15.6" x14ac:dyDescent="0.3">
      <c r="C39" t="s">
        <v>230</v>
      </c>
      <c r="D39" t="s">
        <v>22</v>
      </c>
      <c r="E39" s="104">
        <v>0.1</v>
      </c>
      <c r="F39" s="103">
        <v>0</v>
      </c>
      <c r="G39" s="105">
        <v>10</v>
      </c>
    </row>
    <row r="40" spans="2:17" ht="15.6" x14ac:dyDescent="0.3">
      <c r="C40" t="s">
        <v>230</v>
      </c>
      <c r="D40" t="s">
        <v>21</v>
      </c>
      <c r="E40" s="104">
        <v>0.03</v>
      </c>
      <c r="F40" s="103">
        <v>0.2</v>
      </c>
      <c r="G40" s="105">
        <v>40</v>
      </c>
    </row>
    <row r="41" spans="2:17" ht="15.6" x14ac:dyDescent="0.3">
      <c r="C41" t="s">
        <v>230</v>
      </c>
      <c r="D41" t="s">
        <v>20</v>
      </c>
      <c r="E41" s="104">
        <v>0.02</v>
      </c>
      <c r="F41" s="103">
        <v>0</v>
      </c>
      <c r="G41" s="103">
        <v>0.45</v>
      </c>
    </row>
    <row r="43" spans="2:17" s="26" customFormat="1" x14ac:dyDescent="0.3">
      <c r="B43" s="26" t="s">
        <v>18</v>
      </c>
    </row>
    <row r="45" spans="2:17" x14ac:dyDescent="0.3">
      <c r="C45">
        <v>0.1</v>
      </c>
      <c r="D45" t="s">
        <v>229</v>
      </c>
    </row>
    <row r="46" spans="2:17" x14ac:dyDescent="0.3">
      <c r="C46">
        <v>0.25</v>
      </c>
      <c r="D46" t="s">
        <v>228</v>
      </c>
    </row>
    <row r="47" spans="2:17" x14ac:dyDescent="0.3">
      <c r="C47">
        <v>0</v>
      </c>
      <c r="D47" t="s">
        <v>227</v>
      </c>
      <c r="K47" t="s">
        <v>239</v>
      </c>
      <c r="L47" t="s">
        <v>237</v>
      </c>
      <c r="M47" t="s">
        <v>769</v>
      </c>
    </row>
    <row r="48" spans="2:17" x14ac:dyDescent="0.3">
      <c r="D48" t="s">
        <v>226</v>
      </c>
      <c r="J48" t="s">
        <v>22</v>
      </c>
      <c r="K48" s="4">
        <f>E20</f>
        <v>45</v>
      </c>
      <c r="L48" s="4">
        <f>G20</f>
        <v>55</v>
      </c>
      <c r="M48" s="86">
        <f>(L48/K48)^0.5-1</f>
        <v>0.10554159678513342</v>
      </c>
    </row>
    <row r="49" spans="9:31" x14ac:dyDescent="0.3">
      <c r="J49" t="s">
        <v>21</v>
      </c>
      <c r="K49" s="4">
        <f>E21</f>
        <v>200</v>
      </c>
      <c r="L49" s="4">
        <f>G21</f>
        <v>205</v>
      </c>
      <c r="M49" s="86">
        <f>(L49/K49)^0.5-1</f>
        <v>1.2422836565829209E-2</v>
      </c>
      <c r="R49">
        <v>1000</v>
      </c>
      <c r="S49" s="9" t="s">
        <v>768</v>
      </c>
      <c r="T49" s="9"/>
      <c r="U49" s="9"/>
      <c r="V49" s="9"/>
      <c r="W49" s="9"/>
      <c r="X49" s="9"/>
      <c r="Y49" s="9"/>
      <c r="Z49" s="9"/>
      <c r="AA49" s="9"/>
    </row>
    <row r="50" spans="9:31" x14ac:dyDescent="0.3">
      <c r="J50" t="s">
        <v>20</v>
      </c>
      <c r="K50" s="4">
        <f>E22</f>
        <v>235</v>
      </c>
      <c r="L50" s="4">
        <f>G22</f>
        <v>250</v>
      </c>
      <c r="M50" s="86">
        <f>(L50/K50)^0.5-1</f>
        <v>3.14212462587935E-2</v>
      </c>
      <c r="R50" t="s">
        <v>758</v>
      </c>
      <c r="S50" s="9" t="s">
        <v>767</v>
      </c>
      <c r="T50" s="9"/>
      <c r="U50" s="9"/>
      <c r="V50" s="9"/>
      <c r="W50" s="9"/>
      <c r="X50" s="9"/>
      <c r="Y50" s="9"/>
      <c r="Z50" s="9"/>
      <c r="AA50" s="9"/>
      <c r="AB50" s="9"/>
      <c r="AC50" s="9"/>
    </row>
    <row r="51" spans="9:31" x14ac:dyDescent="0.3">
      <c r="J51" t="s">
        <v>19</v>
      </c>
      <c r="K51" s="4">
        <f>E23</f>
        <v>2585</v>
      </c>
      <c r="L51" s="4">
        <f>G23</f>
        <v>2700</v>
      </c>
      <c r="M51" s="86">
        <f>(L51/K51)^0.5-1</f>
        <v>2.2001676841163942E-2</v>
      </c>
      <c r="R51" t="s">
        <v>756</v>
      </c>
      <c r="S51" s="9" t="s">
        <v>766</v>
      </c>
      <c r="T51" s="9"/>
      <c r="U51" s="9"/>
      <c r="V51" s="9"/>
      <c r="W51" s="9"/>
      <c r="X51" s="9"/>
      <c r="Y51" s="9"/>
      <c r="Z51" s="9"/>
    </row>
    <row r="54" spans="9:31" ht="15" thickBot="1" x14ac:dyDescent="0.35">
      <c r="I54" s="26" t="s">
        <v>236</v>
      </c>
      <c r="J54" s="26" t="s">
        <v>235</v>
      </c>
      <c r="K54" s="26" t="s">
        <v>765</v>
      </c>
      <c r="L54" s="26" t="s">
        <v>764</v>
      </c>
      <c r="M54" s="26" t="s">
        <v>763</v>
      </c>
      <c r="N54" s="26" t="s">
        <v>652</v>
      </c>
      <c r="O54" s="26" t="s">
        <v>762</v>
      </c>
      <c r="P54" s="26" t="s">
        <v>761</v>
      </c>
      <c r="Q54" s="26" t="s">
        <v>760</v>
      </c>
      <c r="R54" s="26" t="s">
        <v>759</v>
      </c>
      <c r="S54" s="26" t="s">
        <v>758</v>
      </c>
      <c r="T54" s="26" t="s">
        <v>757</v>
      </c>
      <c r="U54" s="26" t="s">
        <v>756</v>
      </c>
    </row>
    <row r="55" spans="9:31" ht="15.6" thickTop="1" thickBot="1" x14ac:dyDescent="0.35">
      <c r="I55" t="s">
        <v>231</v>
      </c>
      <c r="J55" t="s">
        <v>22</v>
      </c>
      <c r="K55" s="4">
        <f>K26*(1+M48)*(1+$C$47)</f>
        <v>60.804787823182338</v>
      </c>
      <c r="L55" s="98">
        <f t="shared" ref="L55:L61" si="4">L26</f>
        <v>0.75</v>
      </c>
      <c r="M55" s="56">
        <f t="shared" ref="M55:M61" si="5">K55*(1-L55)</f>
        <v>15.201196955795584</v>
      </c>
      <c r="N55" s="56">
        <f>(M55+G28+$C$12)*(1+$C$11)</f>
        <v>17.201196955795584</v>
      </c>
      <c r="O55" s="56">
        <f>G35</f>
        <v>5</v>
      </c>
      <c r="P55" s="56">
        <v>0</v>
      </c>
      <c r="Q55" s="56">
        <f t="shared" ref="Q55:Q61" si="6">N55-O55-P55</f>
        <v>12.201196955795584</v>
      </c>
      <c r="R55" s="177">
        <f t="shared" ref="R55:R61" si="7">R26*$R$49</f>
        <v>500</v>
      </c>
      <c r="S55">
        <f>-$C$45*R55</f>
        <v>-50</v>
      </c>
      <c r="T55" s="171">
        <f t="shared" ref="T55:T61" si="8">R55+S55</f>
        <v>450</v>
      </c>
      <c r="U55" s="57">
        <f t="shared" ref="U55:U61" si="9">T55/$T$62</f>
        <v>0.47535211267605637</v>
      </c>
      <c r="W55" s="178">
        <f>SUM(U55:U61)</f>
        <v>1</v>
      </c>
      <c r="X55" s="9" t="s">
        <v>755</v>
      </c>
      <c r="Y55" s="9"/>
      <c r="Z55" s="9"/>
      <c r="AA55" s="9"/>
      <c r="AB55" s="9"/>
      <c r="AC55" s="9"/>
      <c r="AD55" s="9"/>
      <c r="AE55" s="9"/>
    </row>
    <row r="56" spans="9:31" ht="15" thickTop="1" x14ac:dyDescent="0.3">
      <c r="I56" t="s">
        <v>231</v>
      </c>
      <c r="J56" t="s">
        <v>21</v>
      </c>
      <c r="K56" s="4">
        <f>K27*(1+M49)</f>
        <v>207.54668149599499</v>
      </c>
      <c r="L56" s="98">
        <f t="shared" si="4"/>
        <v>0.25</v>
      </c>
      <c r="M56" s="56">
        <f t="shared" si="5"/>
        <v>155.66001112199623</v>
      </c>
      <c r="N56" s="56">
        <f>(M56+G29+$C$12)*(1+$C$11)</f>
        <v>157.66001112199623</v>
      </c>
      <c r="O56" s="56">
        <f>G36</f>
        <v>20</v>
      </c>
      <c r="P56" s="56">
        <f>$C$46*N56</f>
        <v>39.415002780499059</v>
      </c>
      <c r="Q56" s="56">
        <f t="shared" si="6"/>
        <v>98.245008341497169</v>
      </c>
      <c r="R56" s="177">
        <f t="shared" si="7"/>
        <v>200</v>
      </c>
      <c r="S56">
        <f>-$C$45*R56</f>
        <v>-20</v>
      </c>
      <c r="T56" s="171">
        <f t="shared" si="8"/>
        <v>180</v>
      </c>
      <c r="U56" s="57">
        <f t="shared" si="9"/>
        <v>0.19014084507042253</v>
      </c>
    </row>
    <row r="57" spans="9:31" x14ac:dyDescent="0.3">
      <c r="I57" t="s">
        <v>231</v>
      </c>
      <c r="J57" t="s">
        <v>20</v>
      </c>
      <c r="K57" s="4">
        <f>K28*(1+M50)</f>
        <v>257.85531156469835</v>
      </c>
      <c r="L57" s="98">
        <f t="shared" si="4"/>
        <v>0.15</v>
      </c>
      <c r="M57" s="56">
        <f t="shared" si="5"/>
        <v>219.1770148299936</v>
      </c>
      <c r="N57" s="56">
        <f>(M57+G30+$C$12)*(1+$C$11)</f>
        <v>221.1770148299936</v>
      </c>
      <c r="O57" s="56">
        <f>G37*N57</f>
        <v>99.529656673497115</v>
      </c>
      <c r="P57" s="56">
        <v>0</v>
      </c>
      <c r="Q57" s="56">
        <f t="shared" si="6"/>
        <v>121.64735815649648</v>
      </c>
      <c r="R57" s="177">
        <f t="shared" si="7"/>
        <v>100</v>
      </c>
      <c r="S57">
        <f>-$C$45*R57</f>
        <v>-10</v>
      </c>
      <c r="T57" s="171">
        <f t="shared" si="8"/>
        <v>90</v>
      </c>
      <c r="U57" s="57">
        <f t="shared" si="9"/>
        <v>9.5070422535211266E-2</v>
      </c>
    </row>
    <row r="58" spans="9:31" x14ac:dyDescent="0.3">
      <c r="I58" t="s">
        <v>231</v>
      </c>
      <c r="J58" t="s">
        <v>19</v>
      </c>
      <c r="K58" s="4">
        <f>K29*(1+M51)</f>
        <v>2759.4045274711425</v>
      </c>
      <c r="L58" s="98">
        <f t="shared" si="4"/>
        <v>0.1</v>
      </c>
      <c r="M58" s="56">
        <f t="shared" si="5"/>
        <v>2483.4640747240283</v>
      </c>
      <c r="N58" s="56">
        <f>(M58+G31+$C$12)*(1+$C$11)</f>
        <v>2485.4640747240283</v>
      </c>
      <c r="O58" s="56">
        <f>G38*N58</f>
        <v>621.36601868100706</v>
      </c>
      <c r="P58" s="56">
        <f>F38*N58</f>
        <v>248.54640747240285</v>
      </c>
      <c r="Q58" s="56">
        <f t="shared" si="6"/>
        <v>1615.5516485706185</v>
      </c>
      <c r="R58" s="177">
        <f t="shared" si="7"/>
        <v>50</v>
      </c>
      <c r="S58">
        <v>0</v>
      </c>
      <c r="T58" s="171">
        <f t="shared" si="8"/>
        <v>50</v>
      </c>
      <c r="U58" s="57">
        <f t="shared" si="9"/>
        <v>5.2816901408450703E-2</v>
      </c>
    </row>
    <row r="59" spans="9:31" x14ac:dyDescent="0.3">
      <c r="I59" t="s">
        <v>230</v>
      </c>
      <c r="J59" t="s">
        <v>22</v>
      </c>
      <c r="K59" s="4">
        <f>$I$23*K55</f>
        <v>182.41436346954703</v>
      </c>
      <c r="L59" s="98">
        <f t="shared" si="4"/>
        <v>0.75</v>
      </c>
      <c r="M59" s="56">
        <f t="shared" si="5"/>
        <v>45.603590867386757</v>
      </c>
      <c r="N59" s="56">
        <f>(M59+$C$10+$C$12)*(1+$C$11)</f>
        <v>45.603590867386757</v>
      </c>
      <c r="O59" s="56">
        <f>G39</f>
        <v>10</v>
      </c>
      <c r="P59" s="56">
        <v>0</v>
      </c>
      <c r="Q59" s="56">
        <f t="shared" si="6"/>
        <v>35.603590867386757</v>
      </c>
      <c r="R59" s="177">
        <f t="shared" si="7"/>
        <v>100</v>
      </c>
      <c r="S59">
        <f>-1*S55/$I$23</f>
        <v>16.666666666666668</v>
      </c>
      <c r="T59" s="171">
        <f t="shared" si="8"/>
        <v>116.66666666666667</v>
      </c>
      <c r="U59" s="57">
        <f t="shared" si="9"/>
        <v>0.12323943661971833</v>
      </c>
    </row>
    <row r="60" spans="9:31" x14ac:dyDescent="0.3">
      <c r="I60" t="s">
        <v>230</v>
      </c>
      <c r="J60" t="s">
        <v>21</v>
      </c>
      <c r="K60" s="4">
        <f>$I$23*K56</f>
        <v>622.64004448798494</v>
      </c>
      <c r="L60" s="98">
        <f t="shared" si="4"/>
        <v>0.25</v>
      </c>
      <c r="M60" s="56">
        <f t="shared" si="5"/>
        <v>466.98003336598867</v>
      </c>
      <c r="N60" s="56">
        <f>(M60+$C$10+$C$12)*(1+$C$11)</f>
        <v>466.98003336598867</v>
      </c>
      <c r="O60" s="56">
        <f>G40</f>
        <v>40</v>
      </c>
      <c r="P60" s="56">
        <f>$C$46*N60</f>
        <v>116.74500834149717</v>
      </c>
      <c r="Q60" s="56">
        <f t="shared" si="6"/>
        <v>310.23502502449151</v>
      </c>
      <c r="R60" s="177">
        <f t="shared" si="7"/>
        <v>30</v>
      </c>
      <c r="S60">
        <f>-1*S56/$I$23</f>
        <v>6.666666666666667</v>
      </c>
      <c r="T60" s="171">
        <f t="shared" si="8"/>
        <v>36.666666666666664</v>
      </c>
      <c r="U60" s="57">
        <f t="shared" si="9"/>
        <v>3.873239436619718E-2</v>
      </c>
    </row>
    <row r="61" spans="9:31" x14ac:dyDescent="0.3">
      <c r="I61" s="26" t="s">
        <v>230</v>
      </c>
      <c r="J61" s="26" t="s">
        <v>20</v>
      </c>
      <c r="K61" s="176">
        <f>$I$23*K57</f>
        <v>773.56593469409506</v>
      </c>
      <c r="L61" s="164">
        <f t="shared" si="4"/>
        <v>0.15</v>
      </c>
      <c r="M61" s="175">
        <f t="shared" si="5"/>
        <v>657.53104448998079</v>
      </c>
      <c r="N61" s="175">
        <f>(M61+$C$10+$C$12)*(1+$C$11)</f>
        <v>657.53104448998079</v>
      </c>
      <c r="O61" s="175">
        <f>G41*N61</f>
        <v>295.88897002049134</v>
      </c>
      <c r="P61" s="175">
        <v>0</v>
      </c>
      <c r="Q61" s="175">
        <f t="shared" si="6"/>
        <v>361.64207446948944</v>
      </c>
      <c r="R61" s="174">
        <f t="shared" si="7"/>
        <v>20</v>
      </c>
      <c r="S61" s="26">
        <f>-1*S57/$I$23</f>
        <v>3.3333333333333335</v>
      </c>
      <c r="T61" s="173">
        <f t="shared" si="8"/>
        <v>23.333333333333332</v>
      </c>
      <c r="U61" s="172">
        <f t="shared" si="9"/>
        <v>2.464788732394366E-2</v>
      </c>
    </row>
    <row r="62" spans="9:31" x14ac:dyDescent="0.3">
      <c r="O62" s="5">
        <f>SUMPRODUCT(O55:O61,$U$55:$U$61)</f>
        <v>58.535259861066791</v>
      </c>
      <c r="P62" s="56"/>
      <c r="Q62" s="5">
        <f>SUMPRODUCT(Q55:Q61,$U$55:$U$61)</f>
        <v>146.69137646187428</v>
      </c>
      <c r="T62" s="171">
        <f>SUM(T55:T61)</f>
        <v>946.66666666666663</v>
      </c>
    </row>
  </sheetData>
  <mergeCells count="3">
    <mergeCell ref="C7:F7"/>
    <mergeCell ref="C15:G15"/>
    <mergeCell ref="I15:M15"/>
  </mergeCells>
  <pageMargins left="0.7" right="0.7" top="0.75" bottom="0.75" header="0.3" footer="0.3"/>
  <pageSetup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4B292-39C7-462C-A44F-DBE1C5A438A8}">
  <sheetPr>
    <tabColor theme="5" tint="0.39997558519241921"/>
  </sheetPr>
  <dimension ref="A1:M83"/>
  <sheetViews>
    <sheetView workbookViewId="0">
      <selection activeCell="B5" sqref="B5"/>
    </sheetView>
  </sheetViews>
  <sheetFormatPr defaultRowHeight="14.4" x14ac:dyDescent="0.3"/>
  <cols>
    <col min="3" max="3" width="11.5546875" customWidth="1"/>
    <col min="4" max="4" width="10.5546875" bestFit="1" customWidth="1"/>
    <col min="5" max="6" width="14.33203125" bestFit="1" customWidth="1"/>
  </cols>
  <sheetData>
    <row r="1" spans="1:10" ht="15" thickBot="1" x14ac:dyDescent="0.35">
      <c r="A1" t="s">
        <v>290</v>
      </c>
      <c r="G1" s="11" t="s">
        <v>13</v>
      </c>
      <c r="H1" s="10"/>
    </row>
    <row r="2" spans="1:10" x14ac:dyDescent="0.3">
      <c r="G2" s="9" t="s">
        <v>12</v>
      </c>
      <c r="H2" s="9"/>
    </row>
    <row r="3" spans="1:10" ht="15" thickBot="1" x14ac:dyDescent="0.35">
      <c r="G3" s="8" t="s">
        <v>11</v>
      </c>
      <c r="H3" s="8"/>
    </row>
    <row r="4" spans="1:10" ht="15.6" thickTop="1" thickBot="1" x14ac:dyDescent="0.35">
      <c r="G4" s="7" t="s">
        <v>10</v>
      </c>
      <c r="H4" s="7"/>
    </row>
    <row r="5" spans="1:10" ht="15" thickTop="1" x14ac:dyDescent="0.3">
      <c r="G5" s="6" t="s">
        <v>9</v>
      </c>
      <c r="H5" s="5"/>
    </row>
    <row r="9" spans="1:10" ht="15" thickBot="1" x14ac:dyDescent="0.35"/>
    <row r="10" spans="1:10" ht="15" thickBot="1" x14ac:dyDescent="0.35">
      <c r="C10" s="375" t="s">
        <v>8</v>
      </c>
      <c r="D10" s="376"/>
      <c r="E10" s="376"/>
      <c r="F10" s="377"/>
    </row>
    <row r="12" spans="1:10" ht="15" customHeight="1" x14ac:dyDescent="0.3">
      <c r="C12" s="26" t="s">
        <v>284</v>
      </c>
      <c r="D12" s="394" t="s">
        <v>213</v>
      </c>
      <c r="E12" s="395"/>
      <c r="F12" s="394" t="s">
        <v>289</v>
      </c>
      <c r="G12" s="394"/>
    </row>
    <row r="13" spans="1:10" x14ac:dyDescent="0.3">
      <c r="C13" s="84" t="s">
        <v>288</v>
      </c>
      <c r="D13" s="14" t="s">
        <v>238</v>
      </c>
      <c r="E13" s="107" t="s">
        <v>237</v>
      </c>
      <c r="F13" s="14" t="s">
        <v>238</v>
      </c>
      <c r="G13" s="14" t="s">
        <v>237</v>
      </c>
    </row>
    <row r="14" spans="1:10" ht="15" customHeight="1" x14ac:dyDescent="0.3">
      <c r="C14" s="84" t="s">
        <v>287</v>
      </c>
      <c r="D14" s="390" t="s">
        <v>286</v>
      </c>
      <c r="E14" s="390"/>
      <c r="F14" s="390"/>
      <c r="G14" s="390"/>
    </row>
    <row r="15" spans="1:10" x14ac:dyDescent="0.3">
      <c r="C15" s="84" t="s">
        <v>285</v>
      </c>
      <c r="D15">
        <v>0.99</v>
      </c>
      <c r="E15" s="106">
        <v>0.98</v>
      </c>
      <c r="F15">
        <v>1.03</v>
      </c>
      <c r="G15">
        <v>1.03</v>
      </c>
    </row>
    <row r="16" spans="1:10" x14ac:dyDescent="0.3">
      <c r="C16" s="84" t="s">
        <v>174</v>
      </c>
      <c r="D16">
        <v>0.99</v>
      </c>
      <c r="E16" s="106">
        <v>1</v>
      </c>
      <c r="F16">
        <v>0.98</v>
      </c>
      <c r="G16">
        <v>0.99</v>
      </c>
      <c r="J16" s="84"/>
    </row>
    <row r="17" spans="2:13" x14ac:dyDescent="0.3">
      <c r="C17" s="84" t="s">
        <v>284</v>
      </c>
      <c r="D17">
        <v>1</v>
      </c>
      <c r="E17" s="106">
        <v>1</v>
      </c>
      <c r="F17">
        <v>0.98</v>
      </c>
      <c r="G17">
        <v>0.99</v>
      </c>
      <c r="J17" s="84"/>
    </row>
    <row r="18" spans="2:13" x14ac:dyDescent="0.3">
      <c r="C18" s="84" t="s">
        <v>283</v>
      </c>
      <c r="D18">
        <v>1</v>
      </c>
      <c r="E18" s="106">
        <v>1</v>
      </c>
      <c r="F18">
        <v>1.05</v>
      </c>
      <c r="G18">
        <v>1.05</v>
      </c>
      <c r="J18" s="84"/>
    </row>
    <row r="19" spans="2:13" x14ac:dyDescent="0.3">
      <c r="C19" s="84" t="s">
        <v>282</v>
      </c>
      <c r="D19">
        <v>0.4</v>
      </c>
      <c r="E19" s="106">
        <v>0.6</v>
      </c>
      <c r="F19" t="s">
        <v>147</v>
      </c>
      <c r="G19" t="s">
        <v>147</v>
      </c>
    </row>
    <row r="20" spans="2:13" x14ac:dyDescent="0.3">
      <c r="C20" s="84" t="s">
        <v>281</v>
      </c>
      <c r="D20">
        <v>0.3</v>
      </c>
      <c r="E20" s="106">
        <v>0.4</v>
      </c>
      <c r="F20">
        <v>0.15</v>
      </c>
      <c r="G20">
        <v>0.15</v>
      </c>
    </row>
    <row r="21" spans="2:13" ht="15" thickBot="1" x14ac:dyDescent="0.35"/>
    <row r="22" spans="2:13" ht="15" thickBot="1" x14ac:dyDescent="0.35">
      <c r="C22" s="375" t="s">
        <v>4</v>
      </c>
      <c r="D22" s="376"/>
      <c r="E22" s="376"/>
      <c r="F22" s="376"/>
      <c r="G22" s="377"/>
      <c r="I22" s="375" t="s">
        <v>3</v>
      </c>
      <c r="J22" s="376"/>
      <c r="K22" s="376"/>
      <c r="L22" s="376"/>
      <c r="M22" s="377"/>
    </row>
    <row r="24" spans="2:13" s="26" customFormat="1" x14ac:dyDescent="0.3">
      <c r="B24" s="26" t="s">
        <v>27</v>
      </c>
    </row>
    <row r="25" spans="2:13" x14ac:dyDescent="0.3">
      <c r="C25" t="s">
        <v>280</v>
      </c>
    </row>
    <row r="26" spans="2:13" x14ac:dyDescent="0.3">
      <c r="C26" t="s">
        <v>279</v>
      </c>
    </row>
    <row r="27" spans="2:13" x14ac:dyDescent="0.3">
      <c r="C27" t="s">
        <v>276</v>
      </c>
      <c r="D27" t="s">
        <v>275</v>
      </c>
      <c r="E27" t="s">
        <v>274</v>
      </c>
      <c r="F27" t="s">
        <v>273</v>
      </c>
      <c r="G27" t="s">
        <v>272</v>
      </c>
    </row>
    <row r="28" spans="2:13" x14ac:dyDescent="0.3">
      <c r="C28" t="s">
        <v>271</v>
      </c>
      <c r="D28" s="92">
        <v>1665</v>
      </c>
      <c r="E28" s="92">
        <v>465587</v>
      </c>
      <c r="F28" s="92">
        <v>373702</v>
      </c>
      <c r="G28" s="57">
        <v>0.80300000000000005</v>
      </c>
    </row>
    <row r="29" spans="2:13" x14ac:dyDescent="0.3">
      <c r="C29" t="s">
        <v>270</v>
      </c>
      <c r="D29" s="92">
        <v>1671</v>
      </c>
      <c r="E29" s="92">
        <v>470278</v>
      </c>
      <c r="F29" s="92">
        <v>507025</v>
      </c>
      <c r="G29" s="57">
        <v>1.0780000000000001</v>
      </c>
    </row>
    <row r="30" spans="2:13" x14ac:dyDescent="0.3">
      <c r="C30" t="s">
        <v>269</v>
      </c>
      <c r="D30" s="92">
        <v>1688</v>
      </c>
      <c r="E30" s="92">
        <v>482019</v>
      </c>
      <c r="F30" s="92">
        <v>564720</v>
      </c>
      <c r="G30" s="57">
        <v>1.1719999999999999</v>
      </c>
    </row>
    <row r="31" spans="2:13" x14ac:dyDescent="0.3">
      <c r="C31" t="s">
        <v>268</v>
      </c>
      <c r="D31" s="92">
        <v>1704</v>
      </c>
      <c r="E31" s="92">
        <v>486782</v>
      </c>
      <c r="F31" s="92">
        <v>298661</v>
      </c>
      <c r="G31" s="57">
        <v>0.61399999999999999</v>
      </c>
    </row>
    <row r="32" spans="2:13" x14ac:dyDescent="0.3">
      <c r="C32" t="s">
        <v>267</v>
      </c>
      <c r="D32" s="92">
        <v>1705</v>
      </c>
      <c r="E32" s="92">
        <v>489699</v>
      </c>
      <c r="F32" s="92">
        <v>354908</v>
      </c>
      <c r="G32" s="57">
        <v>0.72499999999999998</v>
      </c>
    </row>
    <row r="33" spans="3:7" x14ac:dyDescent="0.3">
      <c r="C33" t="s">
        <v>266</v>
      </c>
      <c r="D33" s="92">
        <v>1722</v>
      </c>
      <c r="E33" s="92">
        <v>497272</v>
      </c>
      <c r="F33" s="92">
        <v>315337</v>
      </c>
      <c r="G33" s="57">
        <v>0.63400000000000001</v>
      </c>
    </row>
    <row r="34" spans="3:7" x14ac:dyDescent="0.3">
      <c r="C34" t="s">
        <v>265</v>
      </c>
      <c r="D34" s="92">
        <v>1733</v>
      </c>
      <c r="E34" s="92">
        <v>499760</v>
      </c>
      <c r="F34" s="92">
        <v>336015</v>
      </c>
      <c r="G34" s="57">
        <v>0.67200000000000004</v>
      </c>
    </row>
    <row r="35" spans="3:7" x14ac:dyDescent="0.3">
      <c r="C35" t="s">
        <v>264</v>
      </c>
      <c r="D35" s="92">
        <v>1758</v>
      </c>
      <c r="E35" s="92">
        <v>511295</v>
      </c>
      <c r="F35" s="92">
        <v>360132</v>
      </c>
      <c r="G35" s="57">
        <v>0.70399999999999996</v>
      </c>
    </row>
    <row r="36" spans="3:7" x14ac:dyDescent="0.3">
      <c r="C36" t="s">
        <v>263</v>
      </c>
      <c r="D36" s="92">
        <v>1766</v>
      </c>
      <c r="E36" s="92">
        <v>517551</v>
      </c>
      <c r="F36" s="92">
        <v>337224</v>
      </c>
      <c r="G36" s="57">
        <v>0.65200000000000002</v>
      </c>
    </row>
    <row r="37" spans="3:7" x14ac:dyDescent="0.3">
      <c r="C37" t="s">
        <v>262</v>
      </c>
      <c r="D37" s="92">
        <v>1779</v>
      </c>
      <c r="E37" s="92">
        <v>525619</v>
      </c>
      <c r="F37" s="92">
        <v>427186</v>
      </c>
      <c r="G37" s="57">
        <v>0.81299999999999994</v>
      </c>
    </row>
    <row r="38" spans="3:7" x14ac:dyDescent="0.3">
      <c r="C38" t="s">
        <v>261</v>
      </c>
      <c r="D38" s="92">
        <v>1779</v>
      </c>
      <c r="E38" s="92">
        <v>531045</v>
      </c>
      <c r="F38" s="92">
        <v>430718</v>
      </c>
      <c r="G38" s="57">
        <v>0.81100000000000005</v>
      </c>
    </row>
    <row r="39" spans="3:7" x14ac:dyDescent="0.3">
      <c r="C39" t="s">
        <v>260</v>
      </c>
      <c r="D39" s="92">
        <v>1788</v>
      </c>
      <c r="E39" s="92">
        <v>535942</v>
      </c>
      <c r="F39" s="92">
        <v>513888</v>
      </c>
      <c r="G39" s="57">
        <v>0.95899999999999996</v>
      </c>
    </row>
    <row r="40" spans="3:7" x14ac:dyDescent="0.3">
      <c r="C40" t="s">
        <v>259</v>
      </c>
      <c r="D40" s="92">
        <v>1814</v>
      </c>
      <c r="E40" s="92">
        <v>543068</v>
      </c>
      <c r="F40" s="92">
        <v>406715</v>
      </c>
      <c r="G40" s="57">
        <v>0.749</v>
      </c>
    </row>
    <row r="41" spans="3:7" x14ac:dyDescent="0.3">
      <c r="C41" t="s">
        <v>258</v>
      </c>
      <c r="D41" s="92">
        <v>1919</v>
      </c>
      <c r="E41" s="92">
        <v>580575</v>
      </c>
      <c r="F41" s="92">
        <v>600567</v>
      </c>
      <c r="G41" s="57">
        <v>1.034</v>
      </c>
    </row>
    <row r="42" spans="3:7" x14ac:dyDescent="0.3">
      <c r="C42" t="s">
        <v>257</v>
      </c>
      <c r="D42" s="92">
        <v>1921</v>
      </c>
      <c r="E42" s="92">
        <v>582599</v>
      </c>
      <c r="F42" s="92">
        <v>335520</v>
      </c>
      <c r="G42" s="57">
        <v>0.57599999999999996</v>
      </c>
    </row>
    <row r="43" spans="3:7" x14ac:dyDescent="0.3">
      <c r="C43" t="s">
        <v>256</v>
      </c>
      <c r="D43" s="92">
        <v>1981</v>
      </c>
      <c r="E43" s="92">
        <v>604894</v>
      </c>
      <c r="F43" s="92">
        <v>416739</v>
      </c>
      <c r="G43" s="57">
        <v>0.68899999999999995</v>
      </c>
    </row>
    <row r="44" spans="3:7" x14ac:dyDescent="0.3">
      <c r="C44" t="s">
        <v>255</v>
      </c>
      <c r="D44" s="92">
        <v>2071</v>
      </c>
      <c r="E44" s="92">
        <v>636580</v>
      </c>
      <c r="F44" s="92">
        <v>400022</v>
      </c>
      <c r="G44" s="57">
        <v>0.628</v>
      </c>
    </row>
    <row r="45" spans="3:7" x14ac:dyDescent="0.3">
      <c r="C45" t="s">
        <v>254</v>
      </c>
      <c r="D45" s="92">
        <v>2112</v>
      </c>
      <c r="E45" s="92">
        <v>653390</v>
      </c>
      <c r="F45" s="92">
        <v>480400</v>
      </c>
      <c r="G45" s="57">
        <v>0.73499999999999999</v>
      </c>
    </row>
    <row r="46" spans="3:7" x14ac:dyDescent="0.3">
      <c r="C46" t="s">
        <v>253</v>
      </c>
      <c r="D46" s="92">
        <v>2174</v>
      </c>
      <c r="E46" s="92">
        <v>675224</v>
      </c>
      <c r="F46" s="92">
        <v>383458</v>
      </c>
      <c r="G46" s="57">
        <v>0.56799999999999995</v>
      </c>
    </row>
    <row r="47" spans="3:7" x14ac:dyDescent="0.3">
      <c r="C47" t="s">
        <v>252</v>
      </c>
      <c r="D47" s="92">
        <v>2082</v>
      </c>
      <c r="E47" s="92">
        <v>645946</v>
      </c>
      <c r="F47" s="92">
        <v>552819</v>
      </c>
      <c r="G47" s="57">
        <v>0.85599999999999998</v>
      </c>
    </row>
    <row r="48" spans="3:7" x14ac:dyDescent="0.3">
      <c r="C48" t="s">
        <v>251</v>
      </c>
      <c r="D48" s="92">
        <v>2140</v>
      </c>
      <c r="E48" s="92">
        <v>666265</v>
      </c>
      <c r="F48" s="92">
        <v>479039</v>
      </c>
      <c r="G48" s="57">
        <v>0.71899999999999997</v>
      </c>
    </row>
    <row r="49" spans="2:7" x14ac:dyDescent="0.3">
      <c r="C49" t="s">
        <v>250</v>
      </c>
      <c r="D49" s="92">
        <v>2172</v>
      </c>
      <c r="E49" s="92">
        <v>701155</v>
      </c>
      <c r="F49" s="92">
        <v>614218</v>
      </c>
      <c r="G49" s="57">
        <v>0.876</v>
      </c>
    </row>
    <row r="50" spans="2:7" x14ac:dyDescent="0.3">
      <c r="C50" t="s">
        <v>249</v>
      </c>
      <c r="D50" s="92">
        <v>2134</v>
      </c>
      <c r="E50" s="92">
        <v>687468</v>
      </c>
      <c r="F50" s="92">
        <v>718762</v>
      </c>
      <c r="G50" s="57">
        <v>1.046</v>
      </c>
    </row>
    <row r="51" spans="2:7" x14ac:dyDescent="0.3">
      <c r="C51" t="s">
        <v>248</v>
      </c>
      <c r="D51" s="92">
        <v>2231</v>
      </c>
      <c r="E51" s="92">
        <v>721361</v>
      </c>
      <c r="F51" s="92">
        <v>775905</v>
      </c>
      <c r="G51" s="57">
        <v>1.0760000000000001</v>
      </c>
    </row>
    <row r="52" spans="2:7" x14ac:dyDescent="0.3">
      <c r="C52" t="s">
        <v>247</v>
      </c>
      <c r="D52" s="92">
        <v>45509</v>
      </c>
      <c r="E52" s="92">
        <v>13711376</v>
      </c>
      <c r="F52" s="92">
        <v>10983680</v>
      </c>
      <c r="G52" s="57">
        <v>0.80100000000000005</v>
      </c>
    </row>
    <row r="54" spans="2:7" s="26" customFormat="1" x14ac:dyDescent="0.3">
      <c r="B54" s="26" t="s">
        <v>18</v>
      </c>
    </row>
    <row r="56" spans="2:7" x14ac:dyDescent="0.3">
      <c r="C56" t="s">
        <v>278</v>
      </c>
    </row>
    <row r="57" spans="2:7" ht="15" customHeight="1" x14ac:dyDescent="0.3">
      <c r="C57" t="s">
        <v>277</v>
      </c>
    </row>
    <row r="58" spans="2:7" x14ac:dyDescent="0.3">
      <c r="C58" t="s">
        <v>276</v>
      </c>
      <c r="D58" t="s">
        <v>275</v>
      </c>
      <c r="E58" t="s">
        <v>274</v>
      </c>
      <c r="F58" t="s">
        <v>273</v>
      </c>
      <c r="G58" t="s">
        <v>272</v>
      </c>
    </row>
    <row r="59" spans="2:7" x14ac:dyDescent="0.3">
      <c r="C59" t="s">
        <v>271</v>
      </c>
      <c r="D59" s="92">
        <v>3268</v>
      </c>
      <c r="E59" s="92">
        <v>876334</v>
      </c>
      <c r="F59" s="92">
        <v>804913</v>
      </c>
      <c r="G59" s="57">
        <v>0.91900000000000004</v>
      </c>
    </row>
    <row r="60" spans="2:7" x14ac:dyDescent="0.3">
      <c r="C60" t="s">
        <v>270</v>
      </c>
      <c r="D60" s="92">
        <v>3307</v>
      </c>
      <c r="E60" s="92">
        <v>896787</v>
      </c>
      <c r="F60" s="92">
        <v>911135</v>
      </c>
      <c r="G60" s="57">
        <v>1.016</v>
      </c>
    </row>
    <row r="61" spans="2:7" x14ac:dyDescent="0.3">
      <c r="C61" t="s">
        <v>269</v>
      </c>
      <c r="D61" s="92">
        <v>3355</v>
      </c>
      <c r="E61" s="92">
        <v>919265</v>
      </c>
      <c r="F61" s="92">
        <v>849861</v>
      </c>
      <c r="G61" s="57">
        <v>0.92500000000000004</v>
      </c>
    </row>
    <row r="62" spans="2:7" x14ac:dyDescent="0.3">
      <c r="C62" t="s">
        <v>268</v>
      </c>
      <c r="D62" s="92">
        <v>3391</v>
      </c>
      <c r="E62" s="92">
        <v>938959</v>
      </c>
      <c r="F62" s="92">
        <v>728820</v>
      </c>
      <c r="G62" s="57">
        <v>0.77600000000000002</v>
      </c>
    </row>
    <row r="63" spans="2:7" x14ac:dyDescent="0.3">
      <c r="C63" t="s">
        <v>267</v>
      </c>
      <c r="D63" s="92">
        <v>3482</v>
      </c>
      <c r="E63" s="92">
        <v>965700</v>
      </c>
      <c r="F63" s="92">
        <v>785693</v>
      </c>
      <c r="G63" s="57">
        <v>0.81399999999999995</v>
      </c>
    </row>
    <row r="64" spans="2:7" x14ac:dyDescent="0.3">
      <c r="C64" t="s">
        <v>266</v>
      </c>
      <c r="D64" s="92">
        <v>3460</v>
      </c>
      <c r="E64" s="92">
        <v>965855</v>
      </c>
      <c r="F64" s="92">
        <v>602307</v>
      </c>
      <c r="G64" s="57">
        <v>0.624</v>
      </c>
    </row>
    <row r="65" spans="3:7" x14ac:dyDescent="0.3">
      <c r="C65" t="s">
        <v>265</v>
      </c>
      <c r="D65" s="92">
        <v>3511</v>
      </c>
      <c r="E65" s="92">
        <v>983688</v>
      </c>
      <c r="F65" s="92">
        <v>747308</v>
      </c>
      <c r="G65" s="57">
        <v>0.76</v>
      </c>
    </row>
    <row r="66" spans="3:7" x14ac:dyDescent="0.3">
      <c r="C66" t="s">
        <v>264</v>
      </c>
      <c r="D66" s="92">
        <v>3573</v>
      </c>
      <c r="E66" s="92">
        <v>1012091</v>
      </c>
      <c r="F66" s="92">
        <v>713929</v>
      </c>
      <c r="G66" s="57">
        <v>0.70499999999999996</v>
      </c>
    </row>
    <row r="67" spans="3:7" x14ac:dyDescent="0.3">
      <c r="C67" t="s">
        <v>263</v>
      </c>
      <c r="D67" s="92">
        <v>3601</v>
      </c>
      <c r="E67" s="92">
        <v>1031222</v>
      </c>
      <c r="F67" s="92">
        <v>873342</v>
      </c>
      <c r="G67" s="57">
        <v>0.84699999999999998</v>
      </c>
    </row>
    <row r="68" spans="3:7" x14ac:dyDescent="0.3">
      <c r="C68" t="s">
        <v>262</v>
      </c>
      <c r="D68" s="92">
        <v>3637</v>
      </c>
      <c r="E68" s="92">
        <v>1043510</v>
      </c>
      <c r="F68" s="92">
        <v>697169</v>
      </c>
      <c r="G68" s="57">
        <v>0.66800000000000004</v>
      </c>
    </row>
    <row r="69" spans="3:7" x14ac:dyDescent="0.3">
      <c r="C69" t="s">
        <v>261</v>
      </c>
      <c r="D69" s="92">
        <v>3652</v>
      </c>
      <c r="E69" s="92">
        <v>1053702</v>
      </c>
      <c r="F69" s="92">
        <v>749077</v>
      </c>
      <c r="G69" s="57">
        <v>0.71099999999999997</v>
      </c>
    </row>
    <row r="70" spans="3:7" x14ac:dyDescent="0.3">
      <c r="C70" t="s">
        <v>260</v>
      </c>
      <c r="D70" s="92">
        <v>3670</v>
      </c>
      <c r="E70" s="92">
        <v>1063100</v>
      </c>
      <c r="F70" s="92">
        <v>890559</v>
      </c>
      <c r="G70" s="57">
        <v>0.83799999999999997</v>
      </c>
    </row>
    <row r="71" spans="3:7" x14ac:dyDescent="0.3">
      <c r="C71" t="s">
        <v>259</v>
      </c>
      <c r="D71" s="92">
        <v>3709</v>
      </c>
      <c r="E71" s="92">
        <v>1077568</v>
      </c>
      <c r="F71" s="92">
        <v>1039701</v>
      </c>
      <c r="G71" s="57">
        <v>0.96499999999999997</v>
      </c>
    </row>
    <row r="72" spans="3:7" x14ac:dyDescent="0.3">
      <c r="C72" t="s">
        <v>258</v>
      </c>
      <c r="D72" s="92">
        <v>3693</v>
      </c>
      <c r="E72" s="92">
        <v>1076273</v>
      </c>
      <c r="F72" s="92">
        <v>727356</v>
      </c>
      <c r="G72" s="57">
        <v>0.67600000000000005</v>
      </c>
    </row>
    <row r="73" spans="3:7" x14ac:dyDescent="0.3">
      <c r="C73" t="s">
        <v>257</v>
      </c>
      <c r="D73" s="92">
        <v>3817</v>
      </c>
      <c r="E73" s="92">
        <v>1118398</v>
      </c>
      <c r="F73" s="92">
        <v>833351</v>
      </c>
      <c r="G73" s="57">
        <v>0.745</v>
      </c>
    </row>
    <row r="74" spans="3:7" x14ac:dyDescent="0.3">
      <c r="C74" t="s">
        <v>256</v>
      </c>
      <c r="D74" s="92">
        <v>3951</v>
      </c>
      <c r="E74" s="92">
        <v>1168634</v>
      </c>
      <c r="F74" s="92">
        <v>1026324</v>
      </c>
      <c r="G74" s="57">
        <v>0.878</v>
      </c>
    </row>
    <row r="75" spans="3:7" x14ac:dyDescent="0.3">
      <c r="C75" t="s">
        <v>255</v>
      </c>
      <c r="D75" s="92">
        <v>4080</v>
      </c>
      <c r="E75" s="92">
        <v>1216416</v>
      </c>
      <c r="F75" s="92">
        <v>912189</v>
      </c>
      <c r="G75" s="57">
        <v>0.75</v>
      </c>
    </row>
    <row r="76" spans="3:7" x14ac:dyDescent="0.3">
      <c r="C76" t="s">
        <v>254</v>
      </c>
      <c r="D76" s="92">
        <v>4067</v>
      </c>
      <c r="E76" s="92">
        <v>1217503</v>
      </c>
      <c r="F76" s="92">
        <v>707406</v>
      </c>
      <c r="G76" s="57">
        <v>0.58099999999999996</v>
      </c>
    </row>
    <row r="77" spans="3:7" x14ac:dyDescent="0.3">
      <c r="C77" t="s">
        <v>253</v>
      </c>
      <c r="D77" s="92">
        <v>4198</v>
      </c>
      <c r="E77" s="92">
        <v>1270169</v>
      </c>
      <c r="F77" s="92">
        <v>927410</v>
      </c>
      <c r="G77" s="57">
        <v>0.73</v>
      </c>
    </row>
    <row r="78" spans="3:7" x14ac:dyDescent="0.3">
      <c r="C78" t="s">
        <v>252</v>
      </c>
      <c r="D78" s="92">
        <v>4243</v>
      </c>
      <c r="E78" s="92">
        <v>1286799</v>
      </c>
      <c r="F78" s="92">
        <v>862712</v>
      </c>
      <c r="G78" s="57">
        <v>0.67</v>
      </c>
    </row>
    <row r="79" spans="3:7" x14ac:dyDescent="0.3">
      <c r="C79" t="s">
        <v>251</v>
      </c>
      <c r="D79" s="92">
        <v>4313</v>
      </c>
      <c r="E79" s="92">
        <v>1316683</v>
      </c>
      <c r="F79" s="92">
        <v>888239</v>
      </c>
      <c r="G79" s="57">
        <v>0.67500000000000004</v>
      </c>
    </row>
    <row r="80" spans="3:7" x14ac:dyDescent="0.3">
      <c r="C80" t="s">
        <v>250</v>
      </c>
      <c r="D80" s="92">
        <v>4337</v>
      </c>
      <c r="E80" s="92">
        <v>1332857</v>
      </c>
      <c r="F80" s="92">
        <v>1027073</v>
      </c>
      <c r="G80" s="57">
        <v>0.77100000000000002</v>
      </c>
    </row>
    <row r="81" spans="3:7" x14ac:dyDescent="0.3">
      <c r="C81" t="s">
        <v>249</v>
      </c>
      <c r="D81" s="92">
        <v>4392</v>
      </c>
      <c r="E81" s="92">
        <v>1358787</v>
      </c>
      <c r="F81" s="92">
        <v>1233459</v>
      </c>
      <c r="G81" s="57">
        <v>0.90800000000000003</v>
      </c>
    </row>
    <row r="82" spans="3:7" x14ac:dyDescent="0.3">
      <c r="C82" t="s">
        <v>248</v>
      </c>
      <c r="D82" s="92">
        <v>4569</v>
      </c>
      <c r="E82" s="92">
        <v>1419454</v>
      </c>
      <c r="F82" s="92">
        <v>1178101</v>
      </c>
      <c r="G82" s="57">
        <v>0.83</v>
      </c>
    </row>
    <row r="83" spans="3:7" x14ac:dyDescent="0.3">
      <c r="C83" t="s">
        <v>247</v>
      </c>
      <c r="D83" s="92">
        <v>91277</v>
      </c>
      <c r="E83" s="92">
        <v>26609753</v>
      </c>
      <c r="F83" s="92">
        <v>20717433</v>
      </c>
      <c r="G83" s="57">
        <v>0.77900000000000003</v>
      </c>
    </row>
  </sheetData>
  <mergeCells count="6">
    <mergeCell ref="I22:M22"/>
    <mergeCell ref="C10:F10"/>
    <mergeCell ref="D12:E12"/>
    <mergeCell ref="F12:G12"/>
    <mergeCell ref="D14:G14"/>
    <mergeCell ref="C22:G22"/>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2DCF-F196-4D40-8E88-7BC0134E50B5}">
  <sheetPr>
    <tabColor theme="9" tint="0.59999389629810485"/>
  </sheetPr>
  <dimension ref="A1:Y83"/>
  <sheetViews>
    <sheetView workbookViewId="0">
      <selection activeCell="I48" sqref="I48"/>
    </sheetView>
  </sheetViews>
  <sheetFormatPr defaultRowHeight="14.4" x14ac:dyDescent="0.3"/>
  <cols>
    <col min="3" max="3" width="11.5546875" customWidth="1"/>
    <col min="4" max="4" width="10.5546875" bestFit="1" customWidth="1"/>
    <col min="5" max="6" width="14.33203125" bestFit="1" customWidth="1"/>
  </cols>
  <sheetData>
    <row r="1" spans="1:25" ht="15" thickBot="1" x14ac:dyDescent="0.35">
      <c r="A1" t="s">
        <v>290</v>
      </c>
      <c r="G1" s="11" t="s">
        <v>13</v>
      </c>
      <c r="H1" s="10"/>
    </row>
    <row r="2" spans="1:25" x14ac:dyDescent="0.3">
      <c r="G2" s="9" t="s">
        <v>12</v>
      </c>
      <c r="H2" s="9"/>
    </row>
    <row r="3" spans="1:25" ht="15" thickBot="1" x14ac:dyDescent="0.35">
      <c r="G3" s="8" t="s">
        <v>11</v>
      </c>
      <c r="H3" s="8"/>
    </row>
    <row r="4" spans="1:25" ht="15.6" thickTop="1" thickBot="1" x14ac:dyDescent="0.35">
      <c r="G4" s="7" t="s">
        <v>10</v>
      </c>
      <c r="H4" s="7"/>
    </row>
    <row r="5" spans="1:25" ht="15" thickTop="1" x14ac:dyDescent="0.3">
      <c r="G5" s="6" t="s">
        <v>9</v>
      </c>
      <c r="H5" s="5"/>
    </row>
    <row r="9" spans="1:25" ht="15" thickBot="1" x14ac:dyDescent="0.35"/>
    <row r="10" spans="1:25" ht="15" thickBot="1" x14ac:dyDescent="0.35">
      <c r="C10" s="375" t="s">
        <v>8</v>
      </c>
      <c r="D10" s="376"/>
      <c r="E10" s="376"/>
      <c r="F10" s="377"/>
    </row>
    <row r="12" spans="1:25" ht="15" customHeight="1" x14ac:dyDescent="0.3">
      <c r="C12" s="26" t="s">
        <v>284</v>
      </c>
      <c r="D12" s="394" t="s">
        <v>213</v>
      </c>
      <c r="E12" s="395"/>
      <c r="F12" s="394" t="s">
        <v>289</v>
      </c>
      <c r="G12" s="394"/>
    </row>
    <row r="13" spans="1:25" x14ac:dyDescent="0.3">
      <c r="C13" s="84" t="s">
        <v>288</v>
      </c>
      <c r="D13" s="14" t="s">
        <v>238</v>
      </c>
      <c r="E13" s="107" t="s">
        <v>237</v>
      </c>
      <c r="F13" s="14" t="s">
        <v>238</v>
      </c>
      <c r="G13" s="14" t="s">
        <v>237</v>
      </c>
    </row>
    <row r="14" spans="1:25" ht="15" customHeight="1" x14ac:dyDescent="0.3">
      <c r="C14" s="84" t="s">
        <v>287</v>
      </c>
      <c r="D14" s="390" t="s">
        <v>286</v>
      </c>
      <c r="E14" s="390"/>
      <c r="F14" s="390"/>
      <c r="G14" s="390"/>
      <c r="H14">
        <v>4.4999999999999998E-2</v>
      </c>
    </row>
    <row r="15" spans="1:25" x14ac:dyDescent="0.3">
      <c r="C15" s="84" t="s">
        <v>285</v>
      </c>
      <c r="D15">
        <v>0.99</v>
      </c>
      <c r="E15" s="106">
        <v>0.98</v>
      </c>
      <c r="F15">
        <v>1.03</v>
      </c>
      <c r="G15">
        <v>1.03</v>
      </c>
      <c r="H15" s="9" t="s">
        <v>778</v>
      </c>
      <c r="I15" s="9"/>
      <c r="J15" s="9"/>
      <c r="K15" s="9"/>
      <c r="L15" s="9"/>
      <c r="M15" s="9"/>
      <c r="N15" s="9"/>
      <c r="O15" s="9"/>
      <c r="P15" s="9"/>
      <c r="Q15" s="9"/>
      <c r="R15" s="9"/>
      <c r="S15" s="9"/>
      <c r="T15" s="9"/>
      <c r="U15" s="9"/>
      <c r="V15" s="9"/>
      <c r="W15" s="9"/>
      <c r="X15" s="9"/>
      <c r="Y15" s="9"/>
    </row>
    <row r="16" spans="1:25" x14ac:dyDescent="0.3">
      <c r="C16" s="84" t="s">
        <v>174</v>
      </c>
      <c r="D16">
        <v>0.99</v>
      </c>
      <c r="E16" s="106">
        <v>1</v>
      </c>
      <c r="F16">
        <v>0.98</v>
      </c>
      <c r="G16">
        <v>0.99</v>
      </c>
      <c r="J16" s="84"/>
    </row>
    <row r="17" spans="2:13" x14ac:dyDescent="0.3">
      <c r="C17" s="84" t="s">
        <v>284</v>
      </c>
      <c r="D17">
        <v>1</v>
      </c>
      <c r="E17" s="106">
        <v>1</v>
      </c>
      <c r="F17">
        <v>0.98</v>
      </c>
      <c r="G17">
        <v>0.99</v>
      </c>
      <c r="J17" s="84"/>
    </row>
    <row r="18" spans="2:13" x14ac:dyDescent="0.3">
      <c r="C18" s="84" t="s">
        <v>283</v>
      </c>
      <c r="D18">
        <v>1</v>
      </c>
      <c r="E18" s="106">
        <v>1</v>
      </c>
      <c r="F18">
        <v>1.05</v>
      </c>
      <c r="G18">
        <v>1.05</v>
      </c>
      <c r="J18" s="84"/>
    </row>
    <row r="19" spans="2:13" x14ac:dyDescent="0.3">
      <c r="C19" s="84" t="s">
        <v>282</v>
      </c>
      <c r="D19">
        <v>0.4</v>
      </c>
      <c r="E19" s="106">
        <v>0.6</v>
      </c>
      <c r="F19" t="s">
        <v>147</v>
      </c>
      <c r="G19" t="s">
        <v>147</v>
      </c>
    </row>
    <row r="20" spans="2:13" x14ac:dyDescent="0.3">
      <c r="C20" s="84" t="s">
        <v>281</v>
      </c>
      <c r="D20">
        <v>0.3</v>
      </c>
      <c r="E20" s="106">
        <v>0.4</v>
      </c>
      <c r="F20">
        <v>0.15</v>
      </c>
      <c r="G20">
        <v>0.15</v>
      </c>
    </row>
    <row r="21" spans="2:13" ht="15" thickBot="1" x14ac:dyDescent="0.35"/>
    <row r="22" spans="2:13" ht="15" thickBot="1" x14ac:dyDescent="0.35">
      <c r="C22" s="375" t="s">
        <v>4</v>
      </c>
      <c r="D22" s="376"/>
      <c r="E22" s="376"/>
      <c r="F22" s="376"/>
      <c r="G22" s="377"/>
      <c r="I22" s="375" t="s">
        <v>3</v>
      </c>
      <c r="J22" s="376"/>
      <c r="K22" s="376"/>
      <c r="L22" s="376"/>
      <c r="M22" s="377"/>
    </row>
    <row r="24" spans="2:13" s="26" customFormat="1" x14ac:dyDescent="0.3">
      <c r="B24" s="26" t="s">
        <v>27</v>
      </c>
    </row>
    <row r="25" spans="2:13" x14ac:dyDescent="0.3">
      <c r="C25" t="s">
        <v>280</v>
      </c>
    </row>
    <row r="26" spans="2:13" x14ac:dyDescent="0.3">
      <c r="C26" t="s">
        <v>279</v>
      </c>
      <c r="J26" t="s">
        <v>213</v>
      </c>
    </row>
    <row r="27" spans="2:13" x14ac:dyDescent="0.3">
      <c r="C27" t="s">
        <v>276</v>
      </c>
      <c r="D27" t="s">
        <v>275</v>
      </c>
      <c r="E27" t="s">
        <v>274</v>
      </c>
      <c r="F27" t="s">
        <v>273</v>
      </c>
      <c r="G27" t="s">
        <v>272</v>
      </c>
      <c r="J27" t="s">
        <v>238</v>
      </c>
      <c r="K27" t="s">
        <v>237</v>
      </c>
    </row>
    <row r="28" spans="2:13" x14ac:dyDescent="0.3">
      <c r="C28" t="s">
        <v>271</v>
      </c>
      <c r="D28" s="92">
        <v>1665</v>
      </c>
      <c r="E28" s="92">
        <v>465587</v>
      </c>
      <c r="F28" s="92">
        <v>373702</v>
      </c>
      <c r="G28" s="57">
        <v>0.80300000000000005</v>
      </c>
      <c r="J28" s="109">
        <f>SUM(F28:F39)/SUM(D28:D39)</f>
        <v>232.17631756431254</v>
      </c>
      <c r="K28" s="109">
        <f>SUM(F40:F51)/SUM(D40:D51)</f>
        <v>249.0470688053008</v>
      </c>
      <c r="L28" t="s">
        <v>776</v>
      </c>
    </row>
    <row r="29" spans="2:13" x14ac:dyDescent="0.3">
      <c r="C29" t="s">
        <v>270</v>
      </c>
      <c r="D29" s="92">
        <v>1671</v>
      </c>
      <c r="E29" s="92">
        <v>470278</v>
      </c>
      <c r="F29" s="92">
        <v>507025</v>
      </c>
      <c r="G29" s="57">
        <v>1.0780000000000001</v>
      </c>
      <c r="J29">
        <v>3</v>
      </c>
      <c r="K29">
        <v>2</v>
      </c>
      <c r="L29" t="s">
        <v>775</v>
      </c>
    </row>
    <row r="30" spans="2:13" x14ac:dyDescent="0.3">
      <c r="C30" t="s">
        <v>269</v>
      </c>
      <c r="D30" s="92">
        <v>1688</v>
      </c>
      <c r="E30" s="92">
        <v>482019</v>
      </c>
      <c r="F30" s="92">
        <v>564720</v>
      </c>
      <c r="G30" s="57">
        <v>1.1719999999999999</v>
      </c>
      <c r="J30">
        <f>(1+$H$14)^J29</f>
        <v>1.1411661249999998</v>
      </c>
      <c r="K30">
        <f>(1+$H$14)^K29</f>
        <v>1.0920249999999998</v>
      </c>
      <c r="L30" t="s">
        <v>774</v>
      </c>
    </row>
    <row r="31" spans="2:13" x14ac:dyDescent="0.3">
      <c r="C31" t="s">
        <v>268</v>
      </c>
      <c r="D31" s="92">
        <v>1704</v>
      </c>
      <c r="E31" s="92">
        <v>486782</v>
      </c>
      <c r="F31" s="92">
        <v>298661</v>
      </c>
      <c r="G31" s="57">
        <v>0.61399999999999999</v>
      </c>
      <c r="J31">
        <f>$D$15</f>
        <v>0.99</v>
      </c>
      <c r="K31">
        <f>$E$15</f>
        <v>0.98</v>
      </c>
      <c r="L31" t="str">
        <f>$C$15&amp;" pricing adjustment factors"</f>
        <v>Age/Gender pricing adjustment factors</v>
      </c>
    </row>
    <row r="32" spans="2:13" x14ac:dyDescent="0.3">
      <c r="C32" t="s">
        <v>267</v>
      </c>
      <c r="D32" s="92">
        <v>1705</v>
      </c>
      <c r="E32" s="92">
        <v>489699</v>
      </c>
      <c r="F32" s="92">
        <v>354908</v>
      </c>
      <c r="G32" s="57">
        <v>0.72499999999999998</v>
      </c>
      <c r="J32">
        <f>$D$16</f>
        <v>0.99</v>
      </c>
      <c r="K32">
        <f>$E$16</f>
        <v>1</v>
      </c>
      <c r="L32" t="str">
        <f>$C$16&amp;" pricing adjustment factors"</f>
        <v>Area pricing adjustment factors</v>
      </c>
    </row>
    <row r="33" spans="3:12" x14ac:dyDescent="0.3">
      <c r="C33" t="s">
        <v>266</v>
      </c>
      <c r="D33" s="92">
        <v>1722</v>
      </c>
      <c r="E33" s="92">
        <v>497272</v>
      </c>
      <c r="F33" s="92">
        <v>315337</v>
      </c>
      <c r="G33" s="57">
        <v>0.63400000000000001</v>
      </c>
      <c r="J33">
        <f>$D$17</f>
        <v>1</v>
      </c>
      <c r="K33">
        <f>$E$17</f>
        <v>1</v>
      </c>
      <c r="L33" t="str">
        <f>$C$17&amp;" pricing adjustment factors"</f>
        <v>Plan pricing adjustment factors</v>
      </c>
    </row>
    <row r="34" spans="3:12" x14ac:dyDescent="0.3">
      <c r="C34" t="s">
        <v>265</v>
      </c>
      <c r="D34" s="92">
        <v>1733</v>
      </c>
      <c r="E34" s="92">
        <v>499760</v>
      </c>
      <c r="F34" s="92">
        <v>336015</v>
      </c>
      <c r="G34" s="57">
        <v>0.67200000000000004</v>
      </c>
      <c r="J34">
        <f>$D$18</f>
        <v>1</v>
      </c>
      <c r="K34">
        <f>$E$18</f>
        <v>1</v>
      </c>
      <c r="L34" t="str">
        <f>$C$18&amp;" pricing adjustment factors"</f>
        <v>Provider Reimbursement pricing adjustment factors</v>
      </c>
    </row>
    <row r="35" spans="3:12" x14ac:dyDescent="0.3">
      <c r="C35" t="s">
        <v>264</v>
      </c>
      <c r="D35" s="92">
        <v>1758</v>
      </c>
      <c r="E35" s="92">
        <v>511295</v>
      </c>
      <c r="F35" s="92">
        <v>360132</v>
      </c>
      <c r="G35" s="57">
        <v>0.70399999999999996</v>
      </c>
    </row>
    <row r="36" spans="3:12" x14ac:dyDescent="0.3">
      <c r="C36" t="s">
        <v>263</v>
      </c>
      <c r="D36" s="92">
        <v>1766</v>
      </c>
      <c r="E36" s="92">
        <v>517551</v>
      </c>
      <c r="F36" s="92">
        <v>337224</v>
      </c>
      <c r="G36" s="57">
        <v>0.65200000000000002</v>
      </c>
      <c r="J36" s="109">
        <f>J28*PRODUCT(J30:J34)</f>
        <v>259.67920883386637</v>
      </c>
      <c r="K36" s="109">
        <f>K28*PRODUCT(K30:K34)</f>
        <v>266.52631280586638</v>
      </c>
      <c r="L36" t="s">
        <v>773</v>
      </c>
    </row>
    <row r="37" spans="3:12" x14ac:dyDescent="0.3">
      <c r="C37" t="s">
        <v>262</v>
      </c>
      <c r="D37" s="92">
        <v>1779</v>
      </c>
      <c r="E37" s="92">
        <v>525619</v>
      </c>
      <c r="F37" s="92">
        <v>427186</v>
      </c>
      <c r="G37" s="57">
        <v>0.81299999999999994</v>
      </c>
      <c r="J37">
        <f>$D$19</f>
        <v>0.4</v>
      </c>
      <c r="K37">
        <f>$E$19</f>
        <v>0.6</v>
      </c>
      <c r="L37" t="s">
        <v>777</v>
      </c>
    </row>
    <row r="38" spans="3:12" x14ac:dyDescent="0.3">
      <c r="C38" t="s">
        <v>261</v>
      </c>
      <c r="D38" s="92">
        <v>1779</v>
      </c>
      <c r="E38" s="92">
        <v>531045</v>
      </c>
      <c r="F38" s="92">
        <v>430718</v>
      </c>
      <c r="G38" s="57">
        <v>0.81100000000000005</v>
      </c>
    </row>
    <row r="39" spans="3:12" x14ac:dyDescent="0.3">
      <c r="C39" t="s">
        <v>260</v>
      </c>
      <c r="D39" s="92">
        <v>1788</v>
      </c>
      <c r="E39" s="92">
        <v>535942</v>
      </c>
      <c r="F39" s="92">
        <v>513888</v>
      </c>
      <c r="G39" s="57">
        <v>0.95899999999999996</v>
      </c>
      <c r="K39" s="5">
        <f>SUMPRODUCT(J36:K36,J37:K37)</f>
        <v>263.78747121706635</v>
      </c>
      <c r="L39" t="s">
        <v>771</v>
      </c>
    </row>
    <row r="40" spans="3:12" x14ac:dyDescent="0.3">
      <c r="C40" t="s">
        <v>259</v>
      </c>
      <c r="D40" s="92">
        <v>1814</v>
      </c>
      <c r="E40" s="92">
        <v>543068</v>
      </c>
      <c r="F40" s="92">
        <v>406715</v>
      </c>
      <c r="G40" s="57">
        <v>0.749</v>
      </c>
    </row>
    <row r="41" spans="3:12" x14ac:dyDescent="0.3">
      <c r="C41" t="s">
        <v>258</v>
      </c>
      <c r="D41" s="92">
        <v>1919</v>
      </c>
      <c r="E41" s="92">
        <v>580575</v>
      </c>
      <c r="F41" s="92">
        <v>600567</v>
      </c>
      <c r="G41" s="57">
        <v>1.034</v>
      </c>
    </row>
    <row r="42" spans="3:12" x14ac:dyDescent="0.3">
      <c r="C42" t="s">
        <v>257</v>
      </c>
      <c r="D42" s="92">
        <v>1921</v>
      </c>
      <c r="E42" s="92">
        <v>582599</v>
      </c>
      <c r="F42" s="92">
        <v>335520</v>
      </c>
      <c r="G42" s="57">
        <v>0.57599999999999996</v>
      </c>
    </row>
    <row r="43" spans="3:12" x14ac:dyDescent="0.3">
      <c r="C43" t="s">
        <v>256</v>
      </c>
      <c r="D43" s="92">
        <v>1981</v>
      </c>
      <c r="E43" s="92">
        <v>604894</v>
      </c>
      <c r="F43" s="92">
        <v>416739</v>
      </c>
      <c r="G43" s="57">
        <v>0.68899999999999995</v>
      </c>
    </row>
    <row r="44" spans="3:12" x14ac:dyDescent="0.3">
      <c r="C44" t="s">
        <v>255</v>
      </c>
      <c r="D44" s="92">
        <v>2071</v>
      </c>
      <c r="E44" s="92">
        <v>636580</v>
      </c>
      <c r="F44" s="92">
        <v>400022</v>
      </c>
      <c r="G44" s="57">
        <v>0.628</v>
      </c>
    </row>
    <row r="45" spans="3:12" x14ac:dyDescent="0.3">
      <c r="C45" t="s">
        <v>254</v>
      </c>
      <c r="D45" s="92">
        <v>2112</v>
      </c>
      <c r="E45" s="92">
        <v>653390</v>
      </c>
      <c r="F45" s="92">
        <v>480400</v>
      </c>
      <c r="G45" s="57">
        <v>0.73499999999999999</v>
      </c>
    </row>
    <row r="46" spans="3:12" x14ac:dyDescent="0.3">
      <c r="C46" t="s">
        <v>253</v>
      </c>
      <c r="D46" s="92">
        <v>2174</v>
      </c>
      <c r="E46" s="92">
        <v>675224</v>
      </c>
      <c r="F46" s="92">
        <v>383458</v>
      </c>
      <c r="G46" s="57">
        <v>0.56799999999999995</v>
      </c>
    </row>
    <row r="47" spans="3:12" x14ac:dyDescent="0.3">
      <c r="C47" t="s">
        <v>252</v>
      </c>
      <c r="D47" s="92">
        <v>2082</v>
      </c>
      <c r="E47" s="92">
        <v>645946</v>
      </c>
      <c r="F47" s="92">
        <v>552819</v>
      </c>
      <c r="G47" s="57">
        <v>0.85599999999999998</v>
      </c>
    </row>
    <row r="48" spans="3:12" x14ac:dyDescent="0.3">
      <c r="C48" t="s">
        <v>251</v>
      </c>
      <c r="D48" s="92">
        <v>2140</v>
      </c>
      <c r="E48" s="92">
        <v>666265</v>
      </c>
      <c r="F48" s="92">
        <v>479039</v>
      </c>
      <c r="G48" s="57">
        <v>0.71899999999999997</v>
      </c>
    </row>
    <row r="49" spans="2:14" x14ac:dyDescent="0.3">
      <c r="C49" t="s">
        <v>250</v>
      </c>
      <c r="D49" s="92">
        <v>2172</v>
      </c>
      <c r="E49" s="92">
        <v>701155</v>
      </c>
      <c r="F49" s="92">
        <v>614218</v>
      </c>
      <c r="G49" s="57">
        <v>0.876</v>
      </c>
    </row>
    <row r="50" spans="2:14" x14ac:dyDescent="0.3">
      <c r="C50" t="s">
        <v>249</v>
      </c>
      <c r="D50" s="92">
        <v>2134</v>
      </c>
      <c r="E50" s="92">
        <v>687468</v>
      </c>
      <c r="F50" s="92">
        <v>718762</v>
      </c>
      <c r="G50" s="57">
        <v>1.046</v>
      </c>
    </row>
    <row r="51" spans="2:14" x14ac:dyDescent="0.3">
      <c r="C51" t="s">
        <v>248</v>
      </c>
      <c r="D51" s="92">
        <v>2231</v>
      </c>
      <c r="E51" s="92">
        <v>721361</v>
      </c>
      <c r="F51" s="92">
        <v>775905</v>
      </c>
      <c r="G51" s="57">
        <v>1.0760000000000001</v>
      </c>
    </row>
    <row r="52" spans="2:14" x14ac:dyDescent="0.3">
      <c r="C52" t="s">
        <v>247</v>
      </c>
      <c r="D52" s="92">
        <v>45509</v>
      </c>
      <c r="E52" s="92">
        <v>13711376</v>
      </c>
      <c r="F52" s="92">
        <v>10983680</v>
      </c>
      <c r="G52" s="57">
        <v>0.80100000000000005</v>
      </c>
    </row>
    <row r="54" spans="2:14" s="26" customFormat="1" x14ac:dyDescent="0.3">
      <c r="B54" s="26" t="s">
        <v>18</v>
      </c>
    </row>
    <row r="56" spans="2:14" x14ac:dyDescent="0.3">
      <c r="C56" t="s">
        <v>278</v>
      </c>
    </row>
    <row r="57" spans="2:14" ht="15" customHeight="1" x14ac:dyDescent="0.3">
      <c r="C57" t="s">
        <v>277</v>
      </c>
      <c r="J57" s="393" t="s">
        <v>213</v>
      </c>
      <c r="K57" s="387"/>
      <c r="L57" s="393" t="s">
        <v>289</v>
      </c>
      <c r="M57" s="387"/>
    </row>
    <row r="58" spans="2:14" x14ac:dyDescent="0.3">
      <c r="C58" t="s">
        <v>276</v>
      </c>
      <c r="D58" t="s">
        <v>275</v>
      </c>
      <c r="E58" t="s">
        <v>274</v>
      </c>
      <c r="F58" t="s">
        <v>273</v>
      </c>
      <c r="G58" t="s">
        <v>272</v>
      </c>
      <c r="J58" t="s">
        <v>238</v>
      </c>
      <c r="K58" t="s">
        <v>237</v>
      </c>
      <c r="L58" t="s">
        <v>238</v>
      </c>
      <c r="M58" t="s">
        <v>237</v>
      </c>
    </row>
    <row r="59" spans="2:14" x14ac:dyDescent="0.3">
      <c r="C59" t="s">
        <v>271</v>
      </c>
      <c r="D59" s="92">
        <v>3268</v>
      </c>
      <c r="E59" s="92">
        <v>876334</v>
      </c>
      <c r="F59" s="92">
        <v>804913</v>
      </c>
      <c r="G59" s="57">
        <v>0.91900000000000004</v>
      </c>
      <c r="J59" s="109">
        <f>J28</f>
        <v>232.17631756431254</v>
      </c>
      <c r="K59" s="109">
        <f>K28</f>
        <v>249.0470688053008</v>
      </c>
      <c r="L59" s="109">
        <f>SUM(F59:F70)/SUM(D59:D70)</f>
        <v>223.21122962750854</v>
      </c>
      <c r="M59" s="109">
        <f>SUM(F71:F82)/SUM(D71:D82)</f>
        <v>230.17118029532702</v>
      </c>
      <c r="N59" t="s">
        <v>776</v>
      </c>
    </row>
    <row r="60" spans="2:14" x14ac:dyDescent="0.3">
      <c r="C60" t="s">
        <v>270</v>
      </c>
      <c r="D60" s="92">
        <v>3307</v>
      </c>
      <c r="E60" s="92">
        <v>896787</v>
      </c>
      <c r="F60" s="92">
        <v>911135</v>
      </c>
      <c r="G60" s="57">
        <v>1.016</v>
      </c>
      <c r="J60">
        <v>3</v>
      </c>
      <c r="K60">
        <v>2</v>
      </c>
      <c r="L60">
        <v>3</v>
      </c>
      <c r="M60">
        <v>2</v>
      </c>
      <c r="N60" t="s">
        <v>775</v>
      </c>
    </row>
    <row r="61" spans="2:14" x14ac:dyDescent="0.3">
      <c r="C61" t="s">
        <v>269</v>
      </c>
      <c r="D61" s="92">
        <v>3355</v>
      </c>
      <c r="E61" s="92">
        <v>919265</v>
      </c>
      <c r="F61" s="92">
        <v>849861</v>
      </c>
      <c r="G61" s="57">
        <v>0.92500000000000004</v>
      </c>
      <c r="J61">
        <f>(1+$H$14)^J60</f>
        <v>1.1411661249999998</v>
      </c>
      <c r="K61">
        <f>(1+$H$14)^K60</f>
        <v>1.0920249999999998</v>
      </c>
      <c r="L61">
        <f>(1+$H$14)^L60</f>
        <v>1.1411661249999998</v>
      </c>
      <c r="M61">
        <f>(1+$H$14)^M60</f>
        <v>1.0920249999999998</v>
      </c>
      <c r="N61" t="s">
        <v>774</v>
      </c>
    </row>
    <row r="62" spans="2:14" x14ac:dyDescent="0.3">
      <c r="C62" t="s">
        <v>268</v>
      </c>
      <c r="D62" s="92">
        <v>3391</v>
      </c>
      <c r="E62" s="92">
        <v>938959</v>
      </c>
      <c r="F62" s="92">
        <v>728820</v>
      </c>
      <c r="G62" s="57">
        <v>0.77600000000000002</v>
      </c>
      <c r="J62">
        <f>$D$15</f>
        <v>0.99</v>
      </c>
      <c r="K62">
        <f>$E$15</f>
        <v>0.98</v>
      </c>
      <c r="L62">
        <f>$F$15</f>
        <v>1.03</v>
      </c>
      <c r="M62">
        <f>$G$15</f>
        <v>1.03</v>
      </c>
      <c r="N62" t="str">
        <f>$C$15&amp;" pricing adjustment factors"</f>
        <v>Age/Gender pricing adjustment factors</v>
      </c>
    </row>
    <row r="63" spans="2:14" x14ac:dyDescent="0.3">
      <c r="C63" t="s">
        <v>267</v>
      </c>
      <c r="D63" s="92">
        <v>3482</v>
      </c>
      <c r="E63" s="92">
        <v>965700</v>
      </c>
      <c r="F63" s="92">
        <v>785693</v>
      </c>
      <c r="G63" s="57">
        <v>0.81399999999999995</v>
      </c>
      <c r="J63">
        <f>$D$16</f>
        <v>0.99</v>
      </c>
      <c r="K63">
        <f>$E$16</f>
        <v>1</v>
      </c>
      <c r="L63">
        <f>$F$16</f>
        <v>0.98</v>
      </c>
      <c r="M63">
        <f>$G$16</f>
        <v>0.99</v>
      </c>
      <c r="N63" t="str">
        <f>$C$16&amp;" pricing adjustment factors"</f>
        <v>Area pricing adjustment factors</v>
      </c>
    </row>
    <row r="64" spans="2:14" x14ac:dyDescent="0.3">
      <c r="C64" t="s">
        <v>266</v>
      </c>
      <c r="D64" s="92">
        <v>3460</v>
      </c>
      <c r="E64" s="92">
        <v>965855</v>
      </c>
      <c r="F64" s="92">
        <v>602307</v>
      </c>
      <c r="G64" s="57">
        <v>0.624</v>
      </c>
      <c r="J64">
        <f>$D$17</f>
        <v>1</v>
      </c>
      <c r="K64">
        <f>$E$17</f>
        <v>1</v>
      </c>
      <c r="L64">
        <f>$F$17</f>
        <v>0.98</v>
      </c>
      <c r="M64">
        <f>$G$17</f>
        <v>0.99</v>
      </c>
      <c r="N64" t="str">
        <f>$C$17&amp;" pricing adjustment factors"</f>
        <v>Plan pricing adjustment factors</v>
      </c>
    </row>
    <row r="65" spans="3:14" x14ac:dyDescent="0.3">
      <c r="C65" t="s">
        <v>265</v>
      </c>
      <c r="D65" s="92">
        <v>3511</v>
      </c>
      <c r="E65" s="92">
        <v>983688</v>
      </c>
      <c r="F65" s="92">
        <v>747308</v>
      </c>
      <c r="G65" s="57">
        <v>0.76</v>
      </c>
      <c r="J65">
        <f>$D$18</f>
        <v>1</v>
      </c>
      <c r="K65">
        <f>$E$18</f>
        <v>1</v>
      </c>
      <c r="L65">
        <f>$F$18</f>
        <v>1.05</v>
      </c>
      <c r="M65">
        <f>$G$18</f>
        <v>1.05</v>
      </c>
      <c r="N65" t="str">
        <f>$C$18&amp;" pricing adjustment factors"</f>
        <v>Provider Reimbursement pricing adjustment factors</v>
      </c>
    </row>
    <row r="66" spans="3:14" x14ac:dyDescent="0.3">
      <c r="C66" t="s">
        <v>264</v>
      </c>
      <c r="D66" s="92">
        <v>3573</v>
      </c>
      <c r="E66" s="92">
        <v>1012091</v>
      </c>
      <c r="F66" s="92">
        <v>713929</v>
      </c>
      <c r="G66" s="57">
        <v>0.70499999999999996</v>
      </c>
    </row>
    <row r="67" spans="3:14" x14ac:dyDescent="0.3">
      <c r="C67" t="s">
        <v>263</v>
      </c>
      <c r="D67" s="92">
        <v>3601</v>
      </c>
      <c r="E67" s="92">
        <v>1031222</v>
      </c>
      <c r="F67" s="92">
        <v>873342</v>
      </c>
      <c r="G67" s="57">
        <v>0.84699999999999998</v>
      </c>
      <c r="J67" s="109">
        <f>J59*PRODUCT(J61:J65)</f>
        <v>259.67920883386637</v>
      </c>
      <c r="K67" s="109">
        <f>K59*PRODUCT(K61:K65)</f>
        <v>266.52631280586638</v>
      </c>
      <c r="L67" s="109">
        <f>L59*PRODUCT(L61:L65)</f>
        <v>264.57182094919301</v>
      </c>
      <c r="M67" s="109">
        <f>M59*PRODUCT(M61:M65)</f>
        <v>266.42835209559769</v>
      </c>
      <c r="N67" t="s">
        <v>773</v>
      </c>
    </row>
    <row r="68" spans="3:14" x14ac:dyDescent="0.3">
      <c r="C68" t="s">
        <v>262</v>
      </c>
      <c r="D68" s="92">
        <v>3637</v>
      </c>
      <c r="E68" s="92">
        <v>1043510</v>
      </c>
      <c r="F68" s="92">
        <v>697169</v>
      </c>
      <c r="G68" s="57">
        <v>0.66800000000000004</v>
      </c>
      <c r="J68">
        <f>D20</f>
        <v>0.3</v>
      </c>
      <c r="K68">
        <f>E20</f>
        <v>0.4</v>
      </c>
      <c r="L68">
        <f>F20</f>
        <v>0.15</v>
      </c>
      <c r="M68">
        <f>G20</f>
        <v>0.15</v>
      </c>
      <c r="N68" t="s">
        <v>772</v>
      </c>
    </row>
    <row r="69" spans="3:14" x14ac:dyDescent="0.3">
      <c r="C69" t="s">
        <v>261</v>
      </c>
      <c r="D69" s="92">
        <v>3652</v>
      </c>
      <c r="E69" s="92">
        <v>1053702</v>
      </c>
      <c r="F69" s="92">
        <v>749077</v>
      </c>
      <c r="G69" s="57">
        <v>0.71099999999999997</v>
      </c>
    </row>
    <row r="70" spans="3:14" x14ac:dyDescent="0.3">
      <c r="C70" t="s">
        <v>260</v>
      </c>
      <c r="D70" s="92">
        <v>3670</v>
      </c>
      <c r="E70" s="92">
        <v>1063100</v>
      </c>
      <c r="F70" s="92">
        <v>890559</v>
      </c>
      <c r="G70" s="57">
        <v>0.83799999999999997</v>
      </c>
      <c r="M70" s="5">
        <f>SUMPRODUCT(J67:M67,J68:M68)</f>
        <v>264.16431372922506</v>
      </c>
      <c r="N70" t="s">
        <v>771</v>
      </c>
    </row>
    <row r="71" spans="3:14" x14ac:dyDescent="0.3">
      <c r="C71" t="s">
        <v>259</v>
      </c>
      <c r="D71" s="92">
        <v>3709</v>
      </c>
      <c r="E71" s="92">
        <v>1077568</v>
      </c>
      <c r="F71" s="92">
        <v>1039701</v>
      </c>
      <c r="G71" s="57">
        <v>0.96499999999999997</v>
      </c>
    </row>
    <row r="72" spans="3:14" x14ac:dyDescent="0.3">
      <c r="C72" t="s">
        <v>258</v>
      </c>
      <c r="D72" s="92">
        <v>3693</v>
      </c>
      <c r="E72" s="92">
        <v>1076273</v>
      </c>
      <c r="F72" s="92">
        <v>727356</v>
      </c>
      <c r="G72" s="57">
        <v>0.67600000000000005</v>
      </c>
    </row>
    <row r="73" spans="3:14" x14ac:dyDescent="0.3">
      <c r="C73" t="s">
        <v>257</v>
      </c>
      <c r="D73" s="92">
        <v>3817</v>
      </c>
      <c r="E73" s="92">
        <v>1118398</v>
      </c>
      <c r="F73" s="92">
        <v>833351</v>
      </c>
      <c r="G73" s="57">
        <v>0.745</v>
      </c>
    </row>
    <row r="74" spans="3:14" x14ac:dyDescent="0.3">
      <c r="C74" t="s">
        <v>256</v>
      </c>
      <c r="D74" s="92">
        <v>3951</v>
      </c>
      <c r="E74" s="92">
        <v>1168634</v>
      </c>
      <c r="F74" s="92">
        <v>1026324</v>
      </c>
      <c r="G74" s="57">
        <v>0.878</v>
      </c>
    </row>
    <row r="75" spans="3:14" x14ac:dyDescent="0.3">
      <c r="C75" t="s">
        <v>255</v>
      </c>
      <c r="D75" s="92">
        <v>4080</v>
      </c>
      <c r="E75" s="92">
        <v>1216416</v>
      </c>
      <c r="F75" s="92">
        <v>912189</v>
      </c>
      <c r="G75" s="57">
        <v>0.75</v>
      </c>
    </row>
    <row r="76" spans="3:14" x14ac:dyDescent="0.3">
      <c r="C76" t="s">
        <v>254</v>
      </c>
      <c r="D76" s="92">
        <v>4067</v>
      </c>
      <c r="E76" s="92">
        <v>1217503</v>
      </c>
      <c r="F76" s="92">
        <v>707406</v>
      </c>
      <c r="G76" s="57">
        <v>0.58099999999999996</v>
      </c>
    </row>
    <row r="77" spans="3:14" x14ac:dyDescent="0.3">
      <c r="C77" t="s">
        <v>253</v>
      </c>
      <c r="D77" s="92">
        <v>4198</v>
      </c>
      <c r="E77" s="92">
        <v>1270169</v>
      </c>
      <c r="F77" s="92">
        <v>927410</v>
      </c>
      <c r="G77" s="57">
        <v>0.73</v>
      </c>
    </row>
    <row r="78" spans="3:14" x14ac:dyDescent="0.3">
      <c r="C78" t="s">
        <v>252</v>
      </c>
      <c r="D78" s="92">
        <v>4243</v>
      </c>
      <c r="E78" s="92">
        <v>1286799</v>
      </c>
      <c r="F78" s="92">
        <v>862712</v>
      </c>
      <c r="G78" s="57">
        <v>0.67</v>
      </c>
    </row>
    <row r="79" spans="3:14" x14ac:dyDescent="0.3">
      <c r="C79" t="s">
        <v>251</v>
      </c>
      <c r="D79" s="92">
        <v>4313</v>
      </c>
      <c r="E79" s="92">
        <v>1316683</v>
      </c>
      <c r="F79" s="92">
        <v>888239</v>
      </c>
      <c r="G79" s="57">
        <v>0.67500000000000004</v>
      </c>
    </row>
    <row r="80" spans="3:14" x14ac:dyDescent="0.3">
      <c r="C80" t="s">
        <v>250</v>
      </c>
      <c r="D80" s="92">
        <v>4337</v>
      </c>
      <c r="E80" s="92">
        <v>1332857</v>
      </c>
      <c r="F80" s="92">
        <v>1027073</v>
      </c>
      <c r="G80" s="57">
        <v>0.77100000000000002</v>
      </c>
    </row>
    <row r="81" spans="3:7" x14ac:dyDescent="0.3">
      <c r="C81" t="s">
        <v>249</v>
      </c>
      <c r="D81" s="92">
        <v>4392</v>
      </c>
      <c r="E81" s="92">
        <v>1358787</v>
      </c>
      <c r="F81" s="92">
        <v>1233459</v>
      </c>
      <c r="G81" s="57">
        <v>0.90800000000000003</v>
      </c>
    </row>
    <row r="82" spans="3:7" x14ac:dyDescent="0.3">
      <c r="C82" t="s">
        <v>248</v>
      </c>
      <c r="D82" s="92">
        <v>4569</v>
      </c>
      <c r="E82" s="92">
        <v>1419454</v>
      </c>
      <c r="F82" s="92">
        <v>1178101</v>
      </c>
      <c r="G82" s="57">
        <v>0.83</v>
      </c>
    </row>
    <row r="83" spans="3:7" x14ac:dyDescent="0.3">
      <c r="C83" t="s">
        <v>247</v>
      </c>
      <c r="D83" s="92">
        <v>91277</v>
      </c>
      <c r="E83" s="92">
        <v>26609753</v>
      </c>
      <c r="F83" s="92">
        <v>20717433</v>
      </c>
      <c r="G83" s="57">
        <v>0.77900000000000003</v>
      </c>
    </row>
  </sheetData>
  <mergeCells count="8">
    <mergeCell ref="J57:K57"/>
    <mergeCell ref="L57:M57"/>
    <mergeCell ref="C10:F10"/>
    <mergeCell ref="D12:E12"/>
    <mergeCell ref="F12:G12"/>
    <mergeCell ref="D14:G14"/>
    <mergeCell ref="C22:G22"/>
    <mergeCell ref="I22:M22"/>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3346E-9E92-4361-9383-43634602C29C}">
  <sheetPr>
    <tabColor theme="5" tint="0.39997558519241921"/>
  </sheetPr>
  <dimension ref="A1:N81"/>
  <sheetViews>
    <sheetView zoomScaleNormal="100" workbookViewId="0">
      <selection activeCell="B5" sqref="B5"/>
    </sheetView>
  </sheetViews>
  <sheetFormatPr defaultRowHeight="14.4" x14ac:dyDescent="0.3"/>
  <cols>
    <col min="3" max="3" width="21.6640625" customWidth="1"/>
    <col min="11" max="11" width="15.6640625" customWidth="1"/>
    <col min="12" max="12" width="15.109375" customWidth="1"/>
  </cols>
  <sheetData>
    <row r="1" spans="1:14" ht="15" thickBot="1" x14ac:dyDescent="0.35">
      <c r="A1" t="s">
        <v>343</v>
      </c>
      <c r="G1" s="11" t="s">
        <v>13</v>
      </c>
      <c r="H1" s="10"/>
    </row>
    <row r="2" spans="1:14" x14ac:dyDescent="0.3">
      <c r="G2" s="9" t="s">
        <v>12</v>
      </c>
      <c r="H2" s="9"/>
    </row>
    <row r="3" spans="1:14" ht="15" thickBot="1" x14ac:dyDescent="0.35">
      <c r="G3" s="8" t="s">
        <v>11</v>
      </c>
      <c r="H3" s="8"/>
    </row>
    <row r="4" spans="1:14" ht="15.6" thickTop="1" thickBot="1" x14ac:dyDescent="0.35">
      <c r="G4" s="7" t="s">
        <v>10</v>
      </c>
      <c r="H4" s="7"/>
    </row>
    <row r="5" spans="1:14" ht="15" thickTop="1" x14ac:dyDescent="0.3">
      <c r="G5" s="6" t="s">
        <v>9</v>
      </c>
      <c r="H5" s="5"/>
    </row>
    <row r="9" spans="1:14" ht="15" thickBot="1" x14ac:dyDescent="0.35"/>
    <row r="10" spans="1:14" ht="15" thickBot="1" x14ac:dyDescent="0.35">
      <c r="C10" s="375" t="s">
        <v>8</v>
      </c>
      <c r="D10" s="376"/>
      <c r="E10" s="376"/>
      <c r="F10" s="377"/>
    </row>
    <row r="12" spans="1:14" x14ac:dyDescent="0.3">
      <c r="C12" t="s">
        <v>342</v>
      </c>
    </row>
    <row r="13" spans="1:14" ht="15" thickBot="1" x14ac:dyDescent="0.35"/>
    <row r="14" spans="1:14" ht="15" thickBot="1" x14ac:dyDescent="0.35">
      <c r="C14" s="375" t="s">
        <v>4</v>
      </c>
      <c r="D14" s="376"/>
      <c r="E14" s="376"/>
      <c r="F14" s="376"/>
      <c r="G14" s="377"/>
      <c r="J14" s="375" t="s">
        <v>3</v>
      </c>
      <c r="K14" s="376"/>
      <c r="L14" s="376"/>
      <c r="M14" s="376"/>
      <c r="N14" s="377"/>
    </row>
    <row r="15" spans="1:14" s="26" customFormat="1" x14ac:dyDescent="0.3">
      <c r="B15" s="26" t="s">
        <v>54</v>
      </c>
    </row>
    <row r="17" spans="3:4" x14ac:dyDescent="0.3">
      <c r="C17" t="s">
        <v>341</v>
      </c>
    </row>
    <row r="18" spans="3:4" x14ac:dyDescent="0.3">
      <c r="C18" t="s">
        <v>340</v>
      </c>
    </row>
    <row r="19" spans="3:4" x14ac:dyDescent="0.3">
      <c r="C19" t="s">
        <v>339</v>
      </c>
    </row>
    <row r="20" spans="3:4" x14ac:dyDescent="0.3">
      <c r="C20" t="s">
        <v>337</v>
      </c>
      <c r="D20" t="s">
        <v>332</v>
      </c>
    </row>
    <row r="21" spans="3:4" x14ac:dyDescent="0.3">
      <c r="C21" t="s">
        <v>336</v>
      </c>
      <c r="D21">
        <v>50</v>
      </c>
    </row>
    <row r="23" spans="3:4" x14ac:dyDescent="0.3">
      <c r="C23" t="s">
        <v>338</v>
      </c>
    </row>
    <row r="24" spans="3:4" x14ac:dyDescent="0.3">
      <c r="C24" t="s">
        <v>337</v>
      </c>
      <c r="D24">
        <v>20</v>
      </c>
    </row>
    <row r="25" spans="3:4" x14ac:dyDescent="0.3">
      <c r="C25" t="s">
        <v>336</v>
      </c>
      <c r="D25">
        <v>75</v>
      </c>
    </row>
    <row r="26" spans="3:4" x14ac:dyDescent="0.3">
      <c r="C26" t="s">
        <v>335</v>
      </c>
    </row>
    <row r="27" spans="3:4" x14ac:dyDescent="0.3">
      <c r="C27" t="s">
        <v>335</v>
      </c>
      <c r="D27">
        <v>1500</v>
      </c>
    </row>
    <row r="29" spans="3:4" x14ac:dyDescent="0.3">
      <c r="C29" t="s">
        <v>334</v>
      </c>
    </row>
    <row r="30" spans="3:4" x14ac:dyDescent="0.3">
      <c r="C30" t="s">
        <v>333</v>
      </c>
      <c r="D30" t="s">
        <v>332</v>
      </c>
    </row>
    <row r="31" spans="3:4" x14ac:dyDescent="0.3">
      <c r="C31" t="s">
        <v>331</v>
      </c>
      <c r="D31" t="s">
        <v>330</v>
      </c>
    </row>
    <row r="33" spans="3:8" x14ac:dyDescent="0.3">
      <c r="C33" t="s">
        <v>329</v>
      </c>
    </row>
    <row r="34" spans="3:8" x14ac:dyDescent="0.3">
      <c r="D34" t="s">
        <v>292</v>
      </c>
      <c r="E34" t="s">
        <v>306</v>
      </c>
    </row>
    <row r="35" spans="3:8" x14ac:dyDescent="0.3">
      <c r="C35" t="s">
        <v>40</v>
      </c>
      <c r="D35">
        <v>0</v>
      </c>
      <c r="E35">
        <v>0.2</v>
      </c>
    </row>
    <row r="36" spans="3:8" x14ac:dyDescent="0.3">
      <c r="C36" t="s">
        <v>39</v>
      </c>
      <c r="D36">
        <v>0.1</v>
      </c>
      <c r="E36">
        <v>0.4</v>
      </c>
    </row>
    <row r="37" spans="3:8" x14ac:dyDescent="0.3">
      <c r="C37" t="s">
        <v>38</v>
      </c>
      <c r="D37">
        <v>0.4</v>
      </c>
      <c r="E37">
        <v>0.7</v>
      </c>
    </row>
    <row r="39" spans="3:8" x14ac:dyDescent="0.3">
      <c r="C39" t="s">
        <v>328</v>
      </c>
    </row>
    <row r="40" spans="3:8" x14ac:dyDescent="0.3">
      <c r="C40" t="s">
        <v>324</v>
      </c>
      <c r="D40" t="s">
        <v>52</v>
      </c>
      <c r="E40" t="s">
        <v>51</v>
      </c>
      <c r="F40" t="s">
        <v>50</v>
      </c>
    </row>
    <row r="41" spans="3:8" x14ac:dyDescent="0.3">
      <c r="C41" t="s">
        <v>292</v>
      </c>
      <c r="D41" t="s">
        <v>49</v>
      </c>
      <c r="E41">
        <v>0.35</v>
      </c>
      <c r="F41">
        <v>0.4</v>
      </c>
    </row>
    <row r="42" spans="3:8" x14ac:dyDescent="0.3">
      <c r="C42" t="s">
        <v>292</v>
      </c>
      <c r="D42" t="s">
        <v>48</v>
      </c>
      <c r="E42">
        <v>0.2</v>
      </c>
      <c r="F42">
        <v>0.65</v>
      </c>
    </row>
    <row r="43" spans="3:8" x14ac:dyDescent="0.3">
      <c r="C43" t="s">
        <v>306</v>
      </c>
      <c r="D43" t="s">
        <v>47</v>
      </c>
      <c r="E43">
        <v>0.05</v>
      </c>
      <c r="F43" t="s">
        <v>46</v>
      </c>
    </row>
    <row r="45" spans="3:8" x14ac:dyDescent="0.3">
      <c r="C45" t="s">
        <v>327</v>
      </c>
    </row>
    <row r="46" spans="3:8" x14ac:dyDescent="0.3">
      <c r="C46" t="s">
        <v>326</v>
      </c>
      <c r="D46" t="s">
        <v>325</v>
      </c>
      <c r="E46" t="s">
        <v>52</v>
      </c>
      <c r="F46" t="s">
        <v>324</v>
      </c>
      <c r="G46" t="s">
        <v>323</v>
      </c>
      <c r="H46" t="s">
        <v>322</v>
      </c>
    </row>
    <row r="47" spans="3:8" x14ac:dyDescent="0.3">
      <c r="C47">
        <v>1</v>
      </c>
      <c r="D47" t="s">
        <v>321</v>
      </c>
      <c r="E47" t="s">
        <v>292</v>
      </c>
      <c r="F47" t="s">
        <v>49</v>
      </c>
      <c r="G47" t="s">
        <v>320</v>
      </c>
      <c r="H47">
        <v>80</v>
      </c>
    </row>
    <row r="48" spans="3:8" x14ac:dyDescent="0.3">
      <c r="C48">
        <v>1</v>
      </c>
      <c r="D48" t="s">
        <v>319</v>
      </c>
      <c r="E48" t="s">
        <v>292</v>
      </c>
      <c r="F48" t="s">
        <v>49</v>
      </c>
      <c r="G48" t="s">
        <v>318</v>
      </c>
      <c r="H48">
        <v>600</v>
      </c>
    </row>
    <row r="49" spans="3:8" x14ac:dyDescent="0.3">
      <c r="C49">
        <v>2</v>
      </c>
      <c r="D49" t="s">
        <v>317</v>
      </c>
      <c r="E49" t="s">
        <v>292</v>
      </c>
      <c r="F49" t="s">
        <v>48</v>
      </c>
      <c r="G49" t="s">
        <v>301</v>
      </c>
      <c r="H49">
        <v>50</v>
      </c>
    </row>
    <row r="50" spans="3:8" x14ac:dyDescent="0.3">
      <c r="C50">
        <v>3</v>
      </c>
      <c r="D50" t="s">
        <v>316</v>
      </c>
      <c r="E50" t="s">
        <v>292</v>
      </c>
      <c r="F50" t="s">
        <v>48</v>
      </c>
      <c r="G50" t="s">
        <v>315</v>
      </c>
      <c r="H50">
        <v>750</v>
      </c>
    </row>
    <row r="51" spans="3:8" x14ac:dyDescent="0.3">
      <c r="C51">
        <v>3</v>
      </c>
      <c r="D51" t="s">
        <v>314</v>
      </c>
      <c r="E51" t="s">
        <v>292</v>
      </c>
      <c r="F51" t="s">
        <v>48</v>
      </c>
      <c r="G51" t="s">
        <v>313</v>
      </c>
      <c r="H51">
        <v>1000</v>
      </c>
    </row>
    <row r="52" spans="3:8" x14ac:dyDescent="0.3">
      <c r="C52">
        <v>3</v>
      </c>
      <c r="D52" t="s">
        <v>312</v>
      </c>
      <c r="E52" t="s">
        <v>292</v>
      </c>
      <c r="F52" t="s">
        <v>48</v>
      </c>
      <c r="G52" t="s">
        <v>311</v>
      </c>
      <c r="H52">
        <v>1400</v>
      </c>
    </row>
    <row r="53" spans="3:8" x14ac:dyDescent="0.3">
      <c r="C53">
        <v>3</v>
      </c>
      <c r="D53" t="s">
        <v>310</v>
      </c>
      <c r="E53" t="s">
        <v>292</v>
      </c>
      <c r="F53" t="s">
        <v>48</v>
      </c>
      <c r="G53" t="s">
        <v>309</v>
      </c>
      <c r="H53">
        <v>1600</v>
      </c>
    </row>
    <row r="54" spans="3:8" x14ac:dyDescent="0.3">
      <c r="C54">
        <v>4</v>
      </c>
      <c r="D54" t="s">
        <v>308</v>
      </c>
      <c r="E54" t="s">
        <v>306</v>
      </c>
      <c r="F54" t="s">
        <v>305</v>
      </c>
      <c r="G54" t="s">
        <v>301</v>
      </c>
      <c r="H54">
        <v>50</v>
      </c>
    </row>
    <row r="55" spans="3:8" x14ac:dyDescent="0.3">
      <c r="C55">
        <v>4</v>
      </c>
      <c r="D55" t="s">
        <v>307</v>
      </c>
      <c r="E55" t="s">
        <v>306</v>
      </c>
      <c r="F55" t="s">
        <v>305</v>
      </c>
      <c r="G55" t="s">
        <v>304</v>
      </c>
      <c r="H55">
        <v>250</v>
      </c>
    </row>
    <row r="56" spans="3:8" x14ac:dyDescent="0.3">
      <c r="C56">
        <v>5</v>
      </c>
      <c r="D56" t="s">
        <v>303</v>
      </c>
      <c r="E56" t="s">
        <v>292</v>
      </c>
      <c r="F56" t="s">
        <v>48</v>
      </c>
      <c r="G56" t="s">
        <v>298</v>
      </c>
      <c r="H56">
        <v>800</v>
      </c>
    </row>
    <row r="57" spans="3:8" x14ac:dyDescent="0.3">
      <c r="C57">
        <v>6</v>
      </c>
      <c r="D57" t="s">
        <v>302</v>
      </c>
      <c r="E57" t="s">
        <v>292</v>
      </c>
      <c r="F57" t="s">
        <v>48</v>
      </c>
      <c r="G57" t="s">
        <v>301</v>
      </c>
      <c r="H57">
        <v>50</v>
      </c>
    </row>
    <row r="58" spans="3:8" x14ac:dyDescent="0.3">
      <c r="C58">
        <v>7</v>
      </c>
      <c r="D58" t="s">
        <v>300</v>
      </c>
      <c r="E58" t="s">
        <v>292</v>
      </c>
      <c r="F58" t="s">
        <v>49</v>
      </c>
      <c r="G58" t="s">
        <v>299</v>
      </c>
      <c r="H58">
        <v>5000</v>
      </c>
    </row>
    <row r="59" spans="3:8" x14ac:dyDescent="0.3">
      <c r="C59">
        <v>8</v>
      </c>
      <c r="D59" t="s">
        <v>297</v>
      </c>
      <c r="E59" t="s">
        <v>292</v>
      </c>
      <c r="F59" t="s">
        <v>48</v>
      </c>
      <c r="G59" t="s">
        <v>298</v>
      </c>
      <c r="H59">
        <v>150</v>
      </c>
    </row>
    <row r="60" spans="3:8" x14ac:dyDescent="0.3">
      <c r="C60">
        <v>8</v>
      </c>
      <c r="D60" t="s">
        <v>297</v>
      </c>
      <c r="E60" t="s">
        <v>292</v>
      </c>
      <c r="F60" t="s">
        <v>48</v>
      </c>
      <c r="G60" t="s">
        <v>296</v>
      </c>
      <c r="H60">
        <v>300</v>
      </c>
    </row>
    <row r="61" spans="3:8" x14ac:dyDescent="0.3">
      <c r="C61">
        <v>8</v>
      </c>
      <c r="D61" t="s">
        <v>295</v>
      </c>
      <c r="E61" t="s">
        <v>292</v>
      </c>
      <c r="F61" t="s">
        <v>48</v>
      </c>
      <c r="G61" t="s">
        <v>294</v>
      </c>
      <c r="H61">
        <v>1000</v>
      </c>
    </row>
    <row r="62" spans="3:8" x14ac:dyDescent="0.3">
      <c r="C62">
        <v>9</v>
      </c>
      <c r="D62" t="s">
        <v>293</v>
      </c>
      <c r="E62" t="s">
        <v>292</v>
      </c>
      <c r="F62" t="s">
        <v>48</v>
      </c>
      <c r="G62" t="s">
        <v>291</v>
      </c>
      <c r="H62">
        <v>1100</v>
      </c>
    </row>
    <row r="81" spans="2:2" s="26" customFormat="1" x14ac:dyDescent="0.3">
      <c r="B81" s="26" t="s">
        <v>18</v>
      </c>
    </row>
  </sheetData>
  <mergeCells count="3">
    <mergeCell ref="C10:F10"/>
    <mergeCell ref="C14:G14"/>
    <mergeCell ref="J14:N14"/>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9C031-054B-4F9B-A164-9311200B7C54}">
  <sheetPr>
    <tabColor theme="9" tint="0.59999389629810485"/>
  </sheetPr>
  <dimension ref="A1:AK129"/>
  <sheetViews>
    <sheetView zoomScaleNormal="100" workbookViewId="0">
      <selection activeCell="I48" sqref="I48"/>
    </sheetView>
  </sheetViews>
  <sheetFormatPr defaultRowHeight="14.4" x14ac:dyDescent="0.3"/>
  <cols>
    <col min="3" max="3" width="21.6640625" customWidth="1"/>
    <col min="11" max="11" width="15.6640625" customWidth="1"/>
    <col min="12" max="12" width="15.109375" customWidth="1"/>
  </cols>
  <sheetData>
    <row r="1" spans="1:14" ht="15" thickBot="1" x14ac:dyDescent="0.35">
      <c r="A1" t="s">
        <v>343</v>
      </c>
      <c r="G1" s="11" t="s">
        <v>13</v>
      </c>
      <c r="H1" s="10"/>
    </row>
    <row r="2" spans="1:14" x14ac:dyDescent="0.3">
      <c r="G2" s="9" t="s">
        <v>12</v>
      </c>
      <c r="H2" s="9"/>
    </row>
    <row r="3" spans="1:14" ht="15" thickBot="1" x14ac:dyDescent="0.35">
      <c r="G3" s="8" t="s">
        <v>11</v>
      </c>
      <c r="H3" s="8"/>
    </row>
    <row r="4" spans="1:14" ht="15.6" thickTop="1" thickBot="1" x14ac:dyDescent="0.35">
      <c r="G4" s="7" t="s">
        <v>10</v>
      </c>
      <c r="H4" s="7"/>
    </row>
    <row r="5" spans="1:14" ht="15" thickTop="1" x14ac:dyDescent="0.3">
      <c r="G5" s="6" t="s">
        <v>9</v>
      </c>
      <c r="H5" s="5"/>
    </row>
    <row r="9" spans="1:14" ht="15" thickBot="1" x14ac:dyDescent="0.35"/>
    <row r="10" spans="1:14" ht="15" thickBot="1" x14ac:dyDescent="0.35">
      <c r="C10" s="375" t="s">
        <v>8</v>
      </c>
      <c r="D10" s="376"/>
      <c r="E10" s="376"/>
      <c r="F10" s="377"/>
    </row>
    <row r="12" spans="1:14" x14ac:dyDescent="0.3">
      <c r="C12" t="s">
        <v>342</v>
      </c>
    </row>
    <row r="13" spans="1:14" ht="15" thickBot="1" x14ac:dyDescent="0.35"/>
    <row r="14" spans="1:14" ht="15" thickBot="1" x14ac:dyDescent="0.35">
      <c r="C14" s="375" t="s">
        <v>4</v>
      </c>
      <c r="D14" s="376"/>
      <c r="E14" s="376"/>
      <c r="F14" s="376"/>
      <c r="G14" s="377"/>
      <c r="J14" s="375" t="s">
        <v>3</v>
      </c>
      <c r="K14" s="376"/>
      <c r="L14" s="376"/>
      <c r="M14" s="376"/>
      <c r="N14" s="377"/>
    </row>
    <row r="15" spans="1:14" s="26" customFormat="1" x14ac:dyDescent="0.3">
      <c r="B15" s="26" t="s">
        <v>54</v>
      </c>
    </row>
    <row r="16" spans="1:14" x14ac:dyDescent="0.3">
      <c r="J16" t="s">
        <v>327</v>
      </c>
    </row>
    <row r="17" spans="3:16" x14ac:dyDescent="0.3">
      <c r="C17" t="s">
        <v>341</v>
      </c>
      <c r="J17" t="s">
        <v>326</v>
      </c>
      <c r="K17" t="s">
        <v>325</v>
      </c>
      <c r="L17" t="s">
        <v>52</v>
      </c>
      <c r="M17" t="s">
        <v>324</v>
      </c>
      <c r="N17" t="s">
        <v>323</v>
      </c>
      <c r="O17" t="s">
        <v>322</v>
      </c>
      <c r="P17" t="s">
        <v>42</v>
      </c>
    </row>
    <row r="18" spans="3:16" x14ac:dyDescent="0.3">
      <c r="C18" t="s">
        <v>340</v>
      </c>
      <c r="J18">
        <v>1</v>
      </c>
      <c r="K18" t="s">
        <v>321</v>
      </c>
      <c r="L18" t="s">
        <v>292</v>
      </c>
      <c r="M18" t="s">
        <v>49</v>
      </c>
      <c r="N18" t="s">
        <v>320</v>
      </c>
      <c r="O18">
        <v>80</v>
      </c>
      <c r="P18" t="s">
        <v>40</v>
      </c>
    </row>
    <row r="19" spans="3:16" x14ac:dyDescent="0.3">
      <c r="C19" t="s">
        <v>339</v>
      </c>
      <c r="J19">
        <v>1</v>
      </c>
      <c r="K19" t="s">
        <v>319</v>
      </c>
      <c r="L19" t="s">
        <v>292</v>
      </c>
      <c r="M19" t="s">
        <v>49</v>
      </c>
      <c r="N19" t="s">
        <v>318</v>
      </c>
      <c r="O19">
        <v>600</v>
      </c>
      <c r="P19" t="s">
        <v>39</v>
      </c>
    </row>
    <row r="20" spans="3:16" x14ac:dyDescent="0.3">
      <c r="C20" t="s">
        <v>337</v>
      </c>
      <c r="D20" t="s">
        <v>332</v>
      </c>
      <c r="J20">
        <v>2</v>
      </c>
      <c r="K20" t="s">
        <v>317</v>
      </c>
      <c r="L20" t="s">
        <v>292</v>
      </c>
      <c r="M20" t="s">
        <v>48</v>
      </c>
      <c r="N20" t="s">
        <v>301</v>
      </c>
      <c r="O20">
        <v>50</v>
      </c>
      <c r="P20" t="s">
        <v>40</v>
      </c>
    </row>
    <row r="21" spans="3:16" x14ac:dyDescent="0.3">
      <c r="C21" t="s">
        <v>336</v>
      </c>
      <c r="D21">
        <v>50</v>
      </c>
      <c r="J21">
        <v>3</v>
      </c>
      <c r="K21" t="s">
        <v>316</v>
      </c>
      <c r="L21" t="s">
        <v>292</v>
      </c>
      <c r="M21" t="s">
        <v>48</v>
      </c>
      <c r="N21" t="s">
        <v>315</v>
      </c>
      <c r="O21">
        <v>750</v>
      </c>
      <c r="P21" t="s">
        <v>39</v>
      </c>
    </row>
    <row r="22" spans="3:16" x14ac:dyDescent="0.3">
      <c r="J22">
        <v>3</v>
      </c>
      <c r="K22" t="s">
        <v>314</v>
      </c>
      <c r="L22" t="s">
        <v>292</v>
      </c>
      <c r="M22" t="s">
        <v>48</v>
      </c>
      <c r="N22" t="s">
        <v>313</v>
      </c>
      <c r="O22">
        <v>1000</v>
      </c>
      <c r="P22" t="s">
        <v>39</v>
      </c>
    </row>
    <row r="23" spans="3:16" x14ac:dyDescent="0.3">
      <c r="C23" t="s">
        <v>338</v>
      </c>
      <c r="J23">
        <v>3</v>
      </c>
      <c r="K23" t="s">
        <v>312</v>
      </c>
      <c r="L23" t="s">
        <v>292</v>
      </c>
      <c r="M23" t="s">
        <v>48</v>
      </c>
      <c r="N23" t="s">
        <v>311</v>
      </c>
      <c r="O23">
        <v>1400</v>
      </c>
      <c r="P23" t="s">
        <v>38</v>
      </c>
    </row>
    <row r="24" spans="3:16" x14ac:dyDescent="0.3">
      <c r="C24" t="s">
        <v>337</v>
      </c>
      <c r="D24">
        <v>20</v>
      </c>
      <c r="J24">
        <v>3</v>
      </c>
      <c r="K24" t="s">
        <v>310</v>
      </c>
      <c r="L24" t="s">
        <v>292</v>
      </c>
      <c r="M24" t="s">
        <v>48</v>
      </c>
      <c r="N24" t="s">
        <v>309</v>
      </c>
      <c r="O24">
        <v>1600</v>
      </c>
      <c r="P24" t="s">
        <v>38</v>
      </c>
    </row>
    <row r="25" spans="3:16" x14ac:dyDescent="0.3">
      <c r="C25" t="s">
        <v>336</v>
      </c>
      <c r="D25">
        <v>75</v>
      </c>
      <c r="J25">
        <v>4</v>
      </c>
      <c r="K25" t="s">
        <v>308</v>
      </c>
      <c r="L25" t="s">
        <v>306</v>
      </c>
      <c r="M25" t="s">
        <v>305</v>
      </c>
      <c r="N25" t="s">
        <v>301</v>
      </c>
      <c r="O25">
        <v>50</v>
      </c>
      <c r="P25" t="s">
        <v>40</v>
      </c>
    </row>
    <row r="26" spans="3:16" x14ac:dyDescent="0.3">
      <c r="C26" t="s">
        <v>335</v>
      </c>
      <c r="J26">
        <v>4</v>
      </c>
      <c r="K26" t="s">
        <v>307</v>
      </c>
      <c r="L26" t="s">
        <v>306</v>
      </c>
      <c r="M26" t="s">
        <v>305</v>
      </c>
      <c r="N26" t="s">
        <v>304</v>
      </c>
      <c r="O26">
        <v>250</v>
      </c>
      <c r="P26" t="s">
        <v>39</v>
      </c>
    </row>
    <row r="27" spans="3:16" x14ac:dyDescent="0.3">
      <c r="C27" t="s">
        <v>335</v>
      </c>
      <c r="D27">
        <v>1500</v>
      </c>
      <c r="J27">
        <v>5</v>
      </c>
      <c r="K27" t="s">
        <v>303</v>
      </c>
      <c r="L27" t="s">
        <v>292</v>
      </c>
      <c r="M27" t="s">
        <v>48</v>
      </c>
      <c r="N27" t="s">
        <v>298</v>
      </c>
      <c r="O27">
        <v>800</v>
      </c>
      <c r="P27" t="s">
        <v>39</v>
      </c>
    </row>
    <row r="28" spans="3:16" x14ac:dyDescent="0.3">
      <c r="J28">
        <v>6</v>
      </c>
      <c r="K28" t="s">
        <v>302</v>
      </c>
      <c r="L28" t="s">
        <v>292</v>
      </c>
      <c r="M28" t="s">
        <v>48</v>
      </c>
      <c r="N28" t="s">
        <v>301</v>
      </c>
      <c r="O28">
        <v>50</v>
      </c>
      <c r="P28" t="s">
        <v>40</v>
      </c>
    </row>
    <row r="29" spans="3:16" x14ac:dyDescent="0.3">
      <c r="C29" t="s">
        <v>334</v>
      </c>
      <c r="J29">
        <v>7</v>
      </c>
      <c r="K29" t="s">
        <v>300</v>
      </c>
      <c r="L29" t="s">
        <v>292</v>
      </c>
      <c r="M29" t="s">
        <v>49</v>
      </c>
      <c r="N29" t="s">
        <v>299</v>
      </c>
      <c r="O29">
        <v>5000</v>
      </c>
      <c r="P29" t="s">
        <v>38</v>
      </c>
    </row>
    <row r="30" spans="3:16" x14ac:dyDescent="0.3">
      <c r="C30" t="s">
        <v>333</v>
      </c>
      <c r="D30" t="s">
        <v>332</v>
      </c>
      <c r="J30">
        <v>8</v>
      </c>
      <c r="K30" t="s">
        <v>297</v>
      </c>
      <c r="L30" t="s">
        <v>292</v>
      </c>
      <c r="M30" t="s">
        <v>48</v>
      </c>
      <c r="N30" t="s">
        <v>298</v>
      </c>
      <c r="O30">
        <v>150</v>
      </c>
      <c r="P30" t="s">
        <v>39</v>
      </c>
    </row>
    <row r="31" spans="3:16" x14ac:dyDescent="0.3">
      <c r="C31" t="s">
        <v>331</v>
      </c>
      <c r="D31" t="s">
        <v>330</v>
      </c>
      <c r="J31">
        <v>8</v>
      </c>
      <c r="K31" t="s">
        <v>297</v>
      </c>
      <c r="L31" t="s">
        <v>292</v>
      </c>
      <c r="M31" t="s">
        <v>48</v>
      </c>
      <c r="N31" t="s">
        <v>296</v>
      </c>
      <c r="O31">
        <v>300</v>
      </c>
      <c r="P31" t="s">
        <v>39</v>
      </c>
    </row>
    <row r="32" spans="3:16" x14ac:dyDescent="0.3">
      <c r="J32">
        <v>8</v>
      </c>
      <c r="K32" t="s">
        <v>295</v>
      </c>
      <c r="L32" t="s">
        <v>292</v>
      </c>
      <c r="M32" t="s">
        <v>48</v>
      </c>
      <c r="N32" t="s">
        <v>294</v>
      </c>
      <c r="O32">
        <v>1000</v>
      </c>
      <c r="P32" t="s">
        <v>38</v>
      </c>
    </row>
    <row r="33" spans="3:23" x14ac:dyDescent="0.3">
      <c r="C33" t="s">
        <v>329</v>
      </c>
      <c r="J33">
        <v>9</v>
      </c>
      <c r="K33" t="s">
        <v>293</v>
      </c>
      <c r="L33" t="s">
        <v>292</v>
      </c>
      <c r="M33" t="s">
        <v>48</v>
      </c>
      <c r="N33" t="s">
        <v>291</v>
      </c>
      <c r="O33">
        <v>1100</v>
      </c>
      <c r="P33" t="s">
        <v>38</v>
      </c>
    </row>
    <row r="34" spans="3:23" x14ac:dyDescent="0.3">
      <c r="D34" t="s">
        <v>292</v>
      </c>
      <c r="E34" t="s">
        <v>306</v>
      </c>
    </row>
    <row r="35" spans="3:23" x14ac:dyDescent="0.3">
      <c r="C35" t="s">
        <v>40</v>
      </c>
      <c r="D35">
        <v>0</v>
      </c>
      <c r="E35">
        <v>0.2</v>
      </c>
      <c r="T35" s="183"/>
    </row>
    <row r="36" spans="3:23" x14ac:dyDescent="0.3">
      <c r="C36" t="s">
        <v>39</v>
      </c>
      <c r="D36">
        <v>0.1</v>
      </c>
      <c r="E36">
        <v>0.4</v>
      </c>
    </row>
    <row r="37" spans="3:23" x14ac:dyDescent="0.3">
      <c r="C37" t="s">
        <v>38</v>
      </c>
      <c r="D37">
        <v>0.4</v>
      </c>
      <c r="E37">
        <v>0.7</v>
      </c>
    </row>
    <row r="38" spans="3:23" x14ac:dyDescent="0.3">
      <c r="K38" s="182" t="s">
        <v>788</v>
      </c>
      <c r="M38" s="9" t="s">
        <v>792</v>
      </c>
      <c r="N38" s="9"/>
      <c r="O38" s="9"/>
      <c r="P38" s="9"/>
      <c r="V38" s="183"/>
    </row>
    <row r="39" spans="3:23" x14ac:dyDescent="0.3">
      <c r="C39" t="s">
        <v>328</v>
      </c>
      <c r="T39" s="183" t="s">
        <v>791</v>
      </c>
      <c r="W39" s="183" t="s">
        <v>790</v>
      </c>
    </row>
    <row r="40" spans="3:23" x14ac:dyDescent="0.3">
      <c r="C40" t="s">
        <v>324</v>
      </c>
      <c r="D40" t="s">
        <v>52</v>
      </c>
      <c r="E40" t="s">
        <v>51</v>
      </c>
      <c r="F40" t="s">
        <v>50</v>
      </c>
      <c r="J40" s="26" t="s">
        <v>326</v>
      </c>
      <c r="K40" s="26" t="s">
        <v>325</v>
      </c>
      <c r="L40" s="26" t="s">
        <v>52</v>
      </c>
      <c r="M40" s="26" t="s">
        <v>324</v>
      </c>
      <c r="N40" s="26" t="s">
        <v>323</v>
      </c>
      <c r="O40" s="26" t="s">
        <v>322</v>
      </c>
      <c r="P40" s="26" t="s">
        <v>42</v>
      </c>
      <c r="Q40" t="s">
        <v>787</v>
      </c>
      <c r="R40" t="s">
        <v>786</v>
      </c>
      <c r="S40" t="s">
        <v>51</v>
      </c>
      <c r="T40" t="s">
        <v>652</v>
      </c>
      <c r="U40" t="s">
        <v>785</v>
      </c>
      <c r="V40" t="s">
        <v>627</v>
      </c>
      <c r="W40" t="s">
        <v>760</v>
      </c>
    </row>
    <row r="41" spans="3:23" x14ac:dyDescent="0.3">
      <c r="C41" t="s">
        <v>292</v>
      </c>
      <c r="D41" t="s">
        <v>49</v>
      </c>
      <c r="E41">
        <v>0.35</v>
      </c>
      <c r="F41">
        <v>0.4</v>
      </c>
      <c r="J41">
        <v>1</v>
      </c>
      <c r="K41" t="s">
        <v>321</v>
      </c>
      <c r="L41" t="s">
        <v>292</v>
      </c>
      <c r="M41" t="s">
        <v>49</v>
      </c>
      <c r="N41" t="s">
        <v>320</v>
      </c>
      <c r="O41">
        <v>80</v>
      </c>
      <c r="P41" t="s">
        <v>40</v>
      </c>
      <c r="Q41">
        <f>VLOOKUP(P41,$C$35:$E$37,2,0)</f>
        <v>0</v>
      </c>
      <c r="R41" t="s">
        <v>332</v>
      </c>
      <c r="S41">
        <f>INDEX($E$41:$E$43,MATCH(M41,$D$41:$D$43,0))</f>
        <v>0.35</v>
      </c>
      <c r="T41">
        <f>O41*(1-S41)</f>
        <v>52</v>
      </c>
      <c r="U41" s="14"/>
      <c r="V41">
        <v>0</v>
      </c>
      <c r="W41">
        <f>T41-V41</f>
        <v>52</v>
      </c>
    </row>
    <row r="42" spans="3:23" x14ac:dyDescent="0.3">
      <c r="C42" t="s">
        <v>292</v>
      </c>
      <c r="D42" t="s">
        <v>48</v>
      </c>
      <c r="E42">
        <v>0.2</v>
      </c>
      <c r="F42">
        <v>0.65</v>
      </c>
      <c r="J42">
        <v>2</v>
      </c>
      <c r="K42" t="s">
        <v>317</v>
      </c>
      <c r="L42" t="s">
        <v>292</v>
      </c>
      <c r="M42" t="s">
        <v>48</v>
      </c>
      <c r="N42" t="s">
        <v>301</v>
      </c>
      <c r="O42">
        <v>50</v>
      </c>
      <c r="P42" t="s">
        <v>40</v>
      </c>
      <c r="Q42">
        <f>VLOOKUP(P42,$C$35:$E$37,2,0)</f>
        <v>0</v>
      </c>
      <c r="R42" t="s">
        <v>332</v>
      </c>
      <c r="S42">
        <f>INDEX($E$41:$E$43,MATCH(M42,$D$41:$D$43,0))</f>
        <v>0.2</v>
      </c>
      <c r="T42">
        <f>O42*(1-S42)</f>
        <v>40</v>
      </c>
      <c r="U42" s="14"/>
      <c r="V42">
        <v>0</v>
      </c>
      <c r="W42">
        <f>T42-V42</f>
        <v>40</v>
      </c>
    </row>
    <row r="43" spans="3:23" x14ac:dyDescent="0.3">
      <c r="C43" t="s">
        <v>306</v>
      </c>
      <c r="D43" t="s">
        <v>47</v>
      </c>
      <c r="E43">
        <v>0.05</v>
      </c>
      <c r="F43" t="s">
        <v>46</v>
      </c>
      <c r="J43">
        <v>6</v>
      </c>
      <c r="K43" t="s">
        <v>302</v>
      </c>
      <c r="L43" t="s">
        <v>292</v>
      </c>
      <c r="M43" t="s">
        <v>48</v>
      </c>
      <c r="N43" t="s">
        <v>301</v>
      </c>
      <c r="O43">
        <v>50</v>
      </c>
      <c r="P43" t="s">
        <v>40</v>
      </c>
      <c r="Q43">
        <f>VLOOKUP(P43,$C$35:$E$37,2,0)</f>
        <v>0</v>
      </c>
      <c r="R43" t="s">
        <v>332</v>
      </c>
      <c r="S43">
        <f>INDEX($E$41:$E$43,MATCH(M43,$D$41:$D$43,0))</f>
        <v>0.2</v>
      </c>
      <c r="T43">
        <f>O43*(1-S43)</f>
        <v>40</v>
      </c>
      <c r="U43" s="14"/>
      <c r="V43">
        <v>0</v>
      </c>
      <c r="W43">
        <f>T43-V43</f>
        <v>40</v>
      </c>
    </row>
    <row r="44" spans="3:23" x14ac:dyDescent="0.3">
      <c r="U44" s="14"/>
    </row>
    <row r="45" spans="3:23" x14ac:dyDescent="0.3">
      <c r="C45" t="s">
        <v>327</v>
      </c>
      <c r="J45">
        <v>1</v>
      </c>
      <c r="K45" t="s">
        <v>319</v>
      </c>
      <c r="L45" t="s">
        <v>292</v>
      </c>
      <c r="M45" t="s">
        <v>49</v>
      </c>
      <c r="N45" t="s">
        <v>318</v>
      </c>
      <c r="O45">
        <v>600</v>
      </c>
      <c r="P45" t="s">
        <v>39</v>
      </c>
      <c r="Q45">
        <f t="shared" ref="Q45:Q50" si="0">VLOOKUP(P45,$C$35:$E$37,2,0)</f>
        <v>0.1</v>
      </c>
      <c r="R45">
        <f t="shared" ref="R45:R50" si="1">$D$21</f>
        <v>50</v>
      </c>
      <c r="S45">
        <f t="shared" ref="S45:S50" si="2">INDEX($E$41:$E$43,MATCH(M45,$D$41:$D$43,0))</f>
        <v>0.35</v>
      </c>
      <c r="T45">
        <f t="shared" ref="T45:T50" si="3">O45*(1-S45)</f>
        <v>390</v>
      </c>
      <c r="U45" s="14"/>
      <c r="V45">
        <f>R45+(T45-R45)*Q45</f>
        <v>84</v>
      </c>
      <c r="W45">
        <f t="shared" ref="W45:W50" si="4">T45-V45</f>
        <v>306</v>
      </c>
    </row>
    <row r="46" spans="3:23" x14ac:dyDescent="0.3">
      <c r="C46" t="s">
        <v>326</v>
      </c>
      <c r="D46" t="s">
        <v>325</v>
      </c>
      <c r="E46" t="s">
        <v>52</v>
      </c>
      <c r="F46" t="s">
        <v>324</v>
      </c>
      <c r="G46" t="s">
        <v>323</v>
      </c>
      <c r="H46" t="s">
        <v>322</v>
      </c>
      <c r="J46">
        <v>3</v>
      </c>
      <c r="K46" t="s">
        <v>316</v>
      </c>
      <c r="L46" t="s">
        <v>292</v>
      </c>
      <c r="M46" t="s">
        <v>48</v>
      </c>
      <c r="N46" t="s">
        <v>315</v>
      </c>
      <c r="O46">
        <v>750</v>
      </c>
      <c r="P46" t="s">
        <v>39</v>
      </c>
      <c r="Q46">
        <f t="shared" si="0"/>
        <v>0.1</v>
      </c>
      <c r="R46">
        <f t="shared" si="1"/>
        <v>50</v>
      </c>
      <c r="S46">
        <f t="shared" si="2"/>
        <v>0.2</v>
      </c>
      <c r="T46">
        <f t="shared" si="3"/>
        <v>600</v>
      </c>
      <c r="U46" s="14"/>
      <c r="V46">
        <f>R46+(T46-R46)*Q46</f>
        <v>105</v>
      </c>
      <c r="W46">
        <f t="shared" si="4"/>
        <v>495</v>
      </c>
    </row>
    <row r="47" spans="3:23" x14ac:dyDescent="0.3">
      <c r="C47">
        <v>1</v>
      </c>
      <c r="D47" t="s">
        <v>321</v>
      </c>
      <c r="E47" t="s">
        <v>292</v>
      </c>
      <c r="F47" t="s">
        <v>49</v>
      </c>
      <c r="G47" t="s">
        <v>320</v>
      </c>
      <c r="H47">
        <v>80</v>
      </c>
      <c r="J47">
        <v>5</v>
      </c>
      <c r="K47" t="s">
        <v>303</v>
      </c>
      <c r="L47" t="s">
        <v>292</v>
      </c>
      <c r="M47" t="s">
        <v>48</v>
      </c>
      <c r="N47" t="s">
        <v>298</v>
      </c>
      <c r="O47">
        <v>800</v>
      </c>
      <c r="P47" t="s">
        <v>39</v>
      </c>
      <c r="Q47">
        <f t="shared" si="0"/>
        <v>0.1</v>
      </c>
      <c r="R47">
        <f t="shared" si="1"/>
        <v>50</v>
      </c>
      <c r="S47">
        <f t="shared" si="2"/>
        <v>0.2</v>
      </c>
      <c r="T47">
        <f t="shared" si="3"/>
        <v>640</v>
      </c>
      <c r="U47" s="14"/>
      <c r="V47">
        <f>R47+(T47-R47)*Q47</f>
        <v>109</v>
      </c>
      <c r="W47">
        <f t="shared" si="4"/>
        <v>531</v>
      </c>
    </row>
    <row r="48" spans="3:23" x14ac:dyDescent="0.3">
      <c r="C48">
        <v>1</v>
      </c>
      <c r="D48" t="s">
        <v>319</v>
      </c>
      <c r="E48" t="s">
        <v>292</v>
      </c>
      <c r="F48" t="s">
        <v>49</v>
      </c>
      <c r="G48" t="s">
        <v>318</v>
      </c>
      <c r="H48">
        <v>600</v>
      </c>
      <c r="J48">
        <v>8</v>
      </c>
      <c r="K48" t="s">
        <v>297</v>
      </c>
      <c r="L48" t="s">
        <v>292</v>
      </c>
      <c r="M48" t="s">
        <v>48</v>
      </c>
      <c r="N48" t="s">
        <v>298</v>
      </c>
      <c r="O48">
        <v>150</v>
      </c>
      <c r="P48" t="s">
        <v>39</v>
      </c>
      <c r="Q48">
        <f t="shared" si="0"/>
        <v>0.1</v>
      </c>
      <c r="R48">
        <f t="shared" si="1"/>
        <v>50</v>
      </c>
      <c r="S48">
        <f t="shared" si="2"/>
        <v>0.2</v>
      </c>
      <c r="T48">
        <f t="shared" si="3"/>
        <v>120</v>
      </c>
      <c r="U48" s="14"/>
      <c r="V48">
        <f>R48+(T48-R48)*Q48</f>
        <v>57</v>
      </c>
      <c r="W48">
        <f t="shared" si="4"/>
        <v>63</v>
      </c>
    </row>
    <row r="49" spans="3:37" x14ac:dyDescent="0.3">
      <c r="C49">
        <v>2</v>
      </c>
      <c r="D49" t="s">
        <v>317</v>
      </c>
      <c r="E49" t="s">
        <v>292</v>
      </c>
      <c r="F49" t="s">
        <v>48</v>
      </c>
      <c r="G49" t="s">
        <v>301</v>
      </c>
      <c r="H49">
        <v>50</v>
      </c>
      <c r="J49">
        <v>8</v>
      </c>
      <c r="K49" t="s">
        <v>297</v>
      </c>
      <c r="L49" t="s">
        <v>292</v>
      </c>
      <c r="M49" t="s">
        <v>48</v>
      </c>
      <c r="N49" t="s">
        <v>296</v>
      </c>
      <c r="O49">
        <v>300</v>
      </c>
      <c r="P49" t="s">
        <v>39</v>
      </c>
      <c r="Q49">
        <f t="shared" si="0"/>
        <v>0.1</v>
      </c>
      <c r="R49">
        <f t="shared" si="1"/>
        <v>50</v>
      </c>
      <c r="S49">
        <f t="shared" si="2"/>
        <v>0.2</v>
      </c>
      <c r="T49">
        <f t="shared" si="3"/>
        <v>240</v>
      </c>
      <c r="U49" s="14" t="s">
        <v>471</v>
      </c>
      <c r="V49">
        <f>T49*Q49</f>
        <v>24</v>
      </c>
      <c r="W49">
        <f t="shared" si="4"/>
        <v>216</v>
      </c>
    </row>
    <row r="50" spans="3:37" x14ac:dyDescent="0.3">
      <c r="C50">
        <v>3</v>
      </c>
      <c r="D50" t="s">
        <v>316</v>
      </c>
      <c r="E50" t="s">
        <v>292</v>
      </c>
      <c r="F50" t="s">
        <v>48</v>
      </c>
      <c r="G50" t="s">
        <v>315</v>
      </c>
      <c r="H50">
        <v>750</v>
      </c>
      <c r="J50">
        <v>3</v>
      </c>
      <c r="K50" t="s">
        <v>314</v>
      </c>
      <c r="L50" t="s">
        <v>292</v>
      </c>
      <c r="M50" t="s">
        <v>48</v>
      </c>
      <c r="N50" t="s">
        <v>313</v>
      </c>
      <c r="O50">
        <v>1000</v>
      </c>
      <c r="P50" t="s">
        <v>39</v>
      </c>
      <c r="Q50">
        <f t="shared" si="0"/>
        <v>0.1</v>
      </c>
      <c r="R50">
        <f t="shared" si="1"/>
        <v>50</v>
      </c>
      <c r="S50">
        <f t="shared" si="2"/>
        <v>0.2</v>
      </c>
      <c r="T50">
        <f t="shared" si="3"/>
        <v>800</v>
      </c>
      <c r="U50" s="14" t="s">
        <v>471</v>
      </c>
      <c r="V50">
        <f>T50*Q50</f>
        <v>80</v>
      </c>
      <c r="W50">
        <f t="shared" si="4"/>
        <v>720</v>
      </c>
    </row>
    <row r="51" spans="3:37" x14ac:dyDescent="0.3">
      <c r="C51">
        <v>3</v>
      </c>
      <c r="D51" t="s">
        <v>314</v>
      </c>
      <c r="E51" t="s">
        <v>292</v>
      </c>
      <c r="F51" t="s">
        <v>48</v>
      </c>
      <c r="G51" t="s">
        <v>313</v>
      </c>
      <c r="H51">
        <v>1000</v>
      </c>
    </row>
    <row r="52" spans="3:37" x14ac:dyDescent="0.3">
      <c r="C52">
        <v>3</v>
      </c>
      <c r="D52" t="s">
        <v>312</v>
      </c>
      <c r="E52" t="s">
        <v>292</v>
      </c>
      <c r="F52" t="s">
        <v>48</v>
      </c>
      <c r="G52" t="s">
        <v>311</v>
      </c>
      <c r="H52">
        <v>1400</v>
      </c>
      <c r="J52">
        <v>3</v>
      </c>
      <c r="K52" t="s">
        <v>312</v>
      </c>
      <c r="L52" t="s">
        <v>292</v>
      </c>
      <c r="M52" t="s">
        <v>48</v>
      </c>
      <c r="N52" t="s">
        <v>311</v>
      </c>
      <c r="O52">
        <v>1400</v>
      </c>
      <c r="P52" t="s">
        <v>38</v>
      </c>
      <c r="Q52">
        <f>VLOOKUP(P52,$C$35:$E$37,2,0)</f>
        <v>0.4</v>
      </c>
      <c r="R52">
        <f>$D$21</f>
        <v>50</v>
      </c>
      <c r="S52">
        <f>INDEX($E$41:$E$43,MATCH(M52,$D$41:$D$43,0))</f>
        <v>0.2</v>
      </c>
      <c r="T52">
        <f>O52*(1-S52)</f>
        <v>1120</v>
      </c>
      <c r="U52" s="14" t="s">
        <v>471</v>
      </c>
      <c r="V52">
        <f>T52*Q52</f>
        <v>448</v>
      </c>
      <c r="W52">
        <f>T52-V52</f>
        <v>672</v>
      </c>
    </row>
    <row r="53" spans="3:37" x14ac:dyDescent="0.3">
      <c r="C53">
        <v>3</v>
      </c>
      <c r="D53" t="s">
        <v>310</v>
      </c>
      <c r="E53" t="s">
        <v>292</v>
      </c>
      <c r="F53" t="s">
        <v>48</v>
      </c>
      <c r="G53" t="s">
        <v>309</v>
      </c>
      <c r="H53">
        <v>1600</v>
      </c>
      <c r="J53">
        <v>3</v>
      </c>
      <c r="K53" t="s">
        <v>310</v>
      </c>
      <c r="L53" t="s">
        <v>292</v>
      </c>
      <c r="M53" t="s">
        <v>48</v>
      </c>
      <c r="N53" t="s">
        <v>309</v>
      </c>
      <c r="O53">
        <v>1600</v>
      </c>
      <c r="P53" t="s">
        <v>38</v>
      </c>
      <c r="Q53">
        <f>VLOOKUP(P53,$C$35:$E$37,2,0)</f>
        <v>0.4</v>
      </c>
      <c r="R53">
        <f>$D$21</f>
        <v>50</v>
      </c>
      <c r="S53">
        <f>INDEX($E$41:$E$43,MATCH(M53,$D$41:$D$43,0))</f>
        <v>0.2</v>
      </c>
      <c r="T53">
        <f>O53*(1-S53)</f>
        <v>1280</v>
      </c>
      <c r="U53" s="14" t="s">
        <v>471</v>
      </c>
      <c r="V53">
        <f>T53*Q53</f>
        <v>512</v>
      </c>
      <c r="W53">
        <f>T53-V53</f>
        <v>768</v>
      </c>
    </row>
    <row r="54" spans="3:37" x14ac:dyDescent="0.3">
      <c r="C54">
        <v>4</v>
      </c>
      <c r="D54" t="s">
        <v>308</v>
      </c>
      <c r="E54" t="s">
        <v>306</v>
      </c>
      <c r="F54" t="s">
        <v>305</v>
      </c>
      <c r="G54" t="s">
        <v>301</v>
      </c>
      <c r="H54">
        <v>50</v>
      </c>
      <c r="J54">
        <v>7</v>
      </c>
      <c r="K54" t="s">
        <v>300</v>
      </c>
      <c r="L54" t="s">
        <v>292</v>
      </c>
      <c r="M54" t="s">
        <v>49</v>
      </c>
      <c r="N54" t="s">
        <v>299</v>
      </c>
      <c r="O54">
        <v>5000</v>
      </c>
      <c r="P54" t="s">
        <v>38</v>
      </c>
      <c r="Q54">
        <f>VLOOKUP(P54,$C$35:$E$37,2,0)</f>
        <v>0.4</v>
      </c>
      <c r="R54">
        <f>$D$21</f>
        <v>50</v>
      </c>
      <c r="S54">
        <f>INDEX($E$41:$E$43,MATCH(M54,$D$41:$D$43,0))</f>
        <v>0.35</v>
      </c>
      <c r="T54">
        <f>O54*(1-S54)</f>
        <v>3250</v>
      </c>
      <c r="U54" s="14"/>
      <c r="V54">
        <f>R54+(T54-R54)*Q54</f>
        <v>1330</v>
      </c>
      <c r="W54">
        <f>T54-V54</f>
        <v>1920</v>
      </c>
      <c r="X54" s="9" t="s">
        <v>789</v>
      </c>
      <c r="Y54" s="9"/>
      <c r="Z54" s="9"/>
      <c r="AA54" s="9"/>
      <c r="AB54" s="9"/>
      <c r="AC54" s="9"/>
      <c r="AD54" s="9"/>
      <c r="AE54" s="9"/>
      <c r="AF54" s="9"/>
      <c r="AG54" s="9"/>
      <c r="AH54" s="9"/>
      <c r="AI54" s="9"/>
      <c r="AJ54" s="9"/>
      <c r="AK54" s="9"/>
    </row>
    <row r="55" spans="3:37" x14ac:dyDescent="0.3">
      <c r="C55">
        <v>4</v>
      </c>
      <c r="D55" t="s">
        <v>307</v>
      </c>
      <c r="E55" t="s">
        <v>306</v>
      </c>
      <c r="F55" t="s">
        <v>305</v>
      </c>
      <c r="G55" t="s">
        <v>304</v>
      </c>
      <c r="H55">
        <v>250</v>
      </c>
      <c r="J55">
        <v>8</v>
      </c>
      <c r="K55" t="s">
        <v>295</v>
      </c>
      <c r="L55" t="s">
        <v>292</v>
      </c>
      <c r="M55" t="s">
        <v>48</v>
      </c>
      <c r="N55" t="s">
        <v>294</v>
      </c>
      <c r="O55">
        <v>1000</v>
      </c>
      <c r="P55" t="s">
        <v>38</v>
      </c>
      <c r="Q55">
        <f>VLOOKUP(P55,$C$35:$E$37,2,0)</f>
        <v>0.4</v>
      </c>
      <c r="R55">
        <f>$D$21</f>
        <v>50</v>
      </c>
      <c r="S55">
        <f>INDEX($E$41:$E$43,MATCH(M55,$D$41:$D$43,0))</f>
        <v>0.2</v>
      </c>
      <c r="T55">
        <f>O55*(1-S55)</f>
        <v>800</v>
      </c>
      <c r="U55" s="14" t="s">
        <v>471</v>
      </c>
      <c r="V55">
        <f>T55*Q55</f>
        <v>320</v>
      </c>
      <c r="W55">
        <f>T55-V55</f>
        <v>480</v>
      </c>
    </row>
    <row r="56" spans="3:37" x14ac:dyDescent="0.3">
      <c r="C56">
        <v>5</v>
      </c>
      <c r="D56" t="s">
        <v>303</v>
      </c>
      <c r="E56" t="s">
        <v>292</v>
      </c>
      <c r="F56" t="s">
        <v>48</v>
      </c>
      <c r="G56" t="s">
        <v>298</v>
      </c>
      <c r="H56">
        <v>800</v>
      </c>
      <c r="J56">
        <v>9</v>
      </c>
      <c r="K56" t="s">
        <v>293</v>
      </c>
      <c r="L56" t="s">
        <v>292</v>
      </c>
      <c r="M56" t="s">
        <v>48</v>
      </c>
      <c r="N56" t="s">
        <v>291</v>
      </c>
      <c r="O56">
        <v>1100</v>
      </c>
      <c r="P56" t="s">
        <v>38</v>
      </c>
      <c r="Q56">
        <f>VLOOKUP(P56,$C$35:$E$37,2,0)</f>
        <v>0.4</v>
      </c>
      <c r="R56">
        <f>$D$21</f>
        <v>50</v>
      </c>
      <c r="S56">
        <f>INDEX($E$41:$E$43,MATCH(M56,$D$41:$D$43,0))</f>
        <v>0.2</v>
      </c>
      <c r="T56">
        <f>O56*(1-S56)</f>
        <v>880</v>
      </c>
      <c r="U56" s="14"/>
      <c r="V56">
        <f>R56+(T56-R56)*Q56</f>
        <v>382</v>
      </c>
      <c r="W56">
        <f>T56-V56</f>
        <v>498</v>
      </c>
    </row>
    <row r="57" spans="3:37" x14ac:dyDescent="0.3">
      <c r="C57">
        <v>6</v>
      </c>
      <c r="D57" t="s">
        <v>302</v>
      </c>
      <c r="E57" t="s">
        <v>292</v>
      </c>
      <c r="F57" t="s">
        <v>48</v>
      </c>
      <c r="G57" t="s">
        <v>301</v>
      </c>
      <c r="H57">
        <v>50</v>
      </c>
      <c r="U57" s="14"/>
    </row>
    <row r="58" spans="3:37" x14ac:dyDescent="0.3">
      <c r="C58">
        <v>7</v>
      </c>
      <c r="D58" t="s">
        <v>300</v>
      </c>
      <c r="E58" t="s">
        <v>292</v>
      </c>
      <c r="F58" t="s">
        <v>49</v>
      </c>
      <c r="G58" t="s">
        <v>299</v>
      </c>
      <c r="H58">
        <v>5000</v>
      </c>
      <c r="K58" s="182" t="s">
        <v>784</v>
      </c>
      <c r="U58" s="14"/>
    </row>
    <row r="59" spans="3:37" x14ac:dyDescent="0.3">
      <c r="C59">
        <v>8</v>
      </c>
      <c r="D59" t="s">
        <v>297</v>
      </c>
      <c r="E59" t="s">
        <v>292</v>
      </c>
      <c r="F59" t="s">
        <v>48</v>
      </c>
      <c r="G59" t="s">
        <v>298</v>
      </c>
      <c r="H59">
        <v>150</v>
      </c>
      <c r="U59" s="14"/>
    </row>
    <row r="60" spans="3:37" x14ac:dyDescent="0.3">
      <c r="C60">
        <v>8</v>
      </c>
      <c r="D60" t="s">
        <v>297</v>
      </c>
      <c r="E60" t="s">
        <v>292</v>
      </c>
      <c r="F60" t="s">
        <v>48</v>
      </c>
      <c r="G60" t="s">
        <v>296</v>
      </c>
      <c r="H60">
        <v>300</v>
      </c>
      <c r="J60" s="26" t="s">
        <v>326</v>
      </c>
      <c r="K60" s="26" t="s">
        <v>325</v>
      </c>
      <c r="L60" s="26" t="s">
        <v>52</v>
      </c>
      <c r="M60" s="26" t="s">
        <v>324</v>
      </c>
      <c r="N60" s="26" t="s">
        <v>323</v>
      </c>
      <c r="O60" s="26" t="s">
        <v>322</v>
      </c>
      <c r="P60" s="26" t="s">
        <v>42</v>
      </c>
    </row>
    <row r="61" spans="3:37" x14ac:dyDescent="0.3">
      <c r="C61">
        <v>8</v>
      </c>
      <c r="D61" t="s">
        <v>295</v>
      </c>
      <c r="E61" t="s">
        <v>292</v>
      </c>
      <c r="F61" t="s">
        <v>48</v>
      </c>
      <c r="G61" t="s">
        <v>294</v>
      </c>
      <c r="H61">
        <v>1000</v>
      </c>
      <c r="J61">
        <v>4</v>
      </c>
      <c r="K61" t="s">
        <v>308</v>
      </c>
      <c r="L61" t="s">
        <v>306</v>
      </c>
      <c r="M61" t="s">
        <v>305</v>
      </c>
      <c r="N61" t="s">
        <v>301</v>
      </c>
      <c r="O61">
        <v>50</v>
      </c>
      <c r="P61" t="s">
        <v>40</v>
      </c>
      <c r="Q61">
        <f>VLOOKUP(P61,$C$35:$E$37,3,0)</f>
        <v>0.2</v>
      </c>
      <c r="R61">
        <f>$D$24</f>
        <v>20</v>
      </c>
      <c r="S61">
        <f>$E$43</f>
        <v>0.05</v>
      </c>
      <c r="T61">
        <f>O61*(1-S61)</f>
        <v>47.5</v>
      </c>
      <c r="U61" s="14"/>
      <c r="V61">
        <f>R61+(T61-R61)*Q61</f>
        <v>25.5</v>
      </c>
      <c r="W61">
        <f>T61-V61</f>
        <v>22</v>
      </c>
    </row>
    <row r="62" spans="3:37" x14ac:dyDescent="0.3">
      <c r="C62">
        <v>9</v>
      </c>
      <c r="D62" t="s">
        <v>293</v>
      </c>
      <c r="E62" t="s">
        <v>292</v>
      </c>
      <c r="F62" t="s">
        <v>48</v>
      </c>
      <c r="G62" t="s">
        <v>291</v>
      </c>
      <c r="H62">
        <v>1100</v>
      </c>
      <c r="U62" s="14"/>
    </row>
    <row r="63" spans="3:37" x14ac:dyDescent="0.3">
      <c r="J63">
        <v>4</v>
      </c>
      <c r="K63" t="s">
        <v>307</v>
      </c>
      <c r="L63" t="s">
        <v>306</v>
      </c>
      <c r="M63" t="s">
        <v>305</v>
      </c>
      <c r="N63" t="s">
        <v>304</v>
      </c>
      <c r="O63">
        <v>250</v>
      </c>
      <c r="P63" t="s">
        <v>39</v>
      </c>
      <c r="Q63">
        <f>VLOOKUP(P63,$C$35:$E$37,3,0)</f>
        <v>0.4</v>
      </c>
      <c r="R63">
        <f>$D$25</f>
        <v>75</v>
      </c>
      <c r="S63">
        <f>$E$43</f>
        <v>0.05</v>
      </c>
      <c r="T63">
        <f>O63*(1-S63)</f>
        <v>237.5</v>
      </c>
      <c r="U63" s="14"/>
      <c r="V63">
        <f>R63+(T63-R63)*Q63</f>
        <v>140</v>
      </c>
      <c r="W63">
        <f>T63-V63</f>
        <v>97.5</v>
      </c>
    </row>
    <row r="65" spans="10:28" x14ac:dyDescent="0.3">
      <c r="T65">
        <f>SUM(T41:T63)</f>
        <v>10537</v>
      </c>
      <c r="V65">
        <f>SUM(V41:V63)</f>
        <v>3616.5</v>
      </c>
      <c r="W65">
        <f>SUM(W41:W63)</f>
        <v>6920.5</v>
      </c>
    </row>
    <row r="68" spans="10:28" x14ac:dyDescent="0.3">
      <c r="J68" s="396" t="s">
        <v>783</v>
      </c>
      <c r="K68" s="396"/>
      <c r="L68" s="396"/>
      <c r="M68" s="396"/>
    </row>
    <row r="69" spans="10:28" ht="15" thickBot="1" x14ac:dyDescent="0.35">
      <c r="J69" t="s">
        <v>326</v>
      </c>
      <c r="K69" t="s">
        <v>652</v>
      </c>
      <c r="L69" t="s">
        <v>760</v>
      </c>
      <c r="M69" t="s">
        <v>627</v>
      </c>
      <c r="P69" t="s">
        <v>326</v>
      </c>
      <c r="Q69" t="s">
        <v>652</v>
      </c>
      <c r="R69" t="s">
        <v>760</v>
      </c>
      <c r="S69" t="s">
        <v>627</v>
      </c>
      <c r="AA69" t="s">
        <v>10</v>
      </c>
      <c r="AB69" t="s">
        <v>782</v>
      </c>
    </row>
    <row r="70" spans="10:28" ht="15.6" thickTop="1" thickBot="1" x14ac:dyDescent="0.35">
      <c r="J70">
        <v>1</v>
      </c>
      <c r="K70" s="109">
        <f t="shared" ref="K70:K78" si="5">SUMIF($J$41:$J$63,$P70,$T$41:$T$63)</f>
        <v>442</v>
      </c>
      <c r="L70" s="109">
        <f t="shared" ref="L70:L78" si="6">SUMIF($J$41:$J$63,$P70,$W$41:$W$63)</f>
        <v>358</v>
      </c>
      <c r="M70" s="109">
        <f t="shared" ref="M70:M78" si="7">SUMIF($J$41:$J$63,$P70,$V$41:$V$63)</f>
        <v>84</v>
      </c>
      <c r="P70">
        <v>1</v>
      </c>
      <c r="Q70" s="109">
        <f t="shared" ref="Q70:Q78" si="8">SUMIF($J$41:$J$63,$P70,$T$41:$T$63)</f>
        <v>442</v>
      </c>
      <c r="R70" s="109">
        <f>SUMIF($J$41:$J$63,$P70,$W$41:$W$63)</f>
        <v>358</v>
      </c>
      <c r="S70" s="109">
        <f>SUMIF($J$41:$J$63,$P70,$V$41:$V$63)</f>
        <v>84</v>
      </c>
      <c r="AA70" s="7" t="b">
        <f t="shared" ref="AA70:AA78" si="9">Q70-R70=S70</f>
        <v>1</v>
      </c>
      <c r="AB70" s="7" t="b">
        <f t="shared" ref="AB70:AB78" si="10">R70&lt;=1500</f>
        <v>1</v>
      </c>
    </row>
    <row r="71" spans="10:28" ht="15.6" thickTop="1" thickBot="1" x14ac:dyDescent="0.35">
      <c r="J71">
        <f t="shared" ref="J71:J78" si="11">1+J70</f>
        <v>2</v>
      </c>
      <c r="K71" s="109">
        <f t="shared" si="5"/>
        <v>40</v>
      </c>
      <c r="L71" s="109">
        <f t="shared" si="6"/>
        <v>40</v>
      </c>
      <c r="M71" s="109">
        <f t="shared" si="7"/>
        <v>0</v>
      </c>
      <c r="P71">
        <f t="shared" ref="P71:P78" si="12">1+P70</f>
        <v>2</v>
      </c>
      <c r="Q71" s="109">
        <f t="shared" si="8"/>
        <v>40</v>
      </c>
      <c r="R71" s="109">
        <f>SUMIF($J$41:$J$63,$P71,$W$41:$W$63)</f>
        <v>40</v>
      </c>
      <c r="S71" s="109">
        <f>SUMIF($J$41:$J$63,$P71,$V$41:$V$63)</f>
        <v>0</v>
      </c>
      <c r="AA71" s="7" t="b">
        <f t="shared" si="9"/>
        <v>1</v>
      </c>
      <c r="AB71" s="7" t="b">
        <f t="shared" si="10"/>
        <v>1</v>
      </c>
    </row>
    <row r="72" spans="10:28" ht="15.6" thickTop="1" thickBot="1" x14ac:dyDescent="0.35">
      <c r="J72">
        <f t="shared" si="11"/>
        <v>3</v>
      </c>
      <c r="K72" s="109">
        <f t="shared" si="5"/>
        <v>3800</v>
      </c>
      <c r="L72" s="109">
        <f t="shared" si="6"/>
        <v>2655</v>
      </c>
      <c r="M72" s="109">
        <f t="shared" si="7"/>
        <v>1145</v>
      </c>
      <c r="P72">
        <f t="shared" si="12"/>
        <v>3</v>
      </c>
      <c r="Q72" s="109">
        <f t="shared" si="8"/>
        <v>3800</v>
      </c>
      <c r="R72" s="109">
        <v>1500</v>
      </c>
      <c r="S72" s="109">
        <f>Q72-R72</f>
        <v>2300</v>
      </c>
      <c r="T72" s="9" t="s">
        <v>781</v>
      </c>
      <c r="U72" s="9"/>
      <c r="V72" s="9"/>
      <c r="W72" s="9"/>
      <c r="X72" s="9"/>
      <c r="Y72" s="9"/>
      <c r="AA72" s="7" t="b">
        <f t="shared" si="9"/>
        <v>1</v>
      </c>
      <c r="AB72" s="7" t="b">
        <f t="shared" si="10"/>
        <v>1</v>
      </c>
    </row>
    <row r="73" spans="10:28" ht="15.6" thickTop="1" thickBot="1" x14ac:dyDescent="0.35">
      <c r="J73">
        <f t="shared" si="11"/>
        <v>4</v>
      </c>
      <c r="K73" s="109">
        <f t="shared" si="5"/>
        <v>285</v>
      </c>
      <c r="L73" s="109">
        <f t="shared" si="6"/>
        <v>119.5</v>
      </c>
      <c r="M73" s="109">
        <f t="shared" si="7"/>
        <v>165.5</v>
      </c>
      <c r="P73">
        <f t="shared" si="12"/>
        <v>4</v>
      </c>
      <c r="Q73" s="109">
        <f t="shared" si="8"/>
        <v>285</v>
      </c>
      <c r="R73" s="109">
        <f>SUMIF($J$41:$J$63,$P73,$W$41:$W$63)</f>
        <v>119.5</v>
      </c>
      <c r="S73" s="109">
        <f>SUMIF($J$41:$J$63,$P73,$V$41:$V$63)</f>
        <v>165.5</v>
      </c>
      <c r="AA73" s="7" t="b">
        <f t="shared" si="9"/>
        <v>1</v>
      </c>
      <c r="AB73" s="7" t="b">
        <f t="shared" si="10"/>
        <v>1</v>
      </c>
    </row>
    <row r="74" spans="10:28" ht="15.6" thickTop="1" thickBot="1" x14ac:dyDescent="0.35">
      <c r="J74">
        <f t="shared" si="11"/>
        <v>5</v>
      </c>
      <c r="K74" s="109">
        <f t="shared" si="5"/>
        <v>640</v>
      </c>
      <c r="L74" s="109">
        <f t="shared" si="6"/>
        <v>531</v>
      </c>
      <c r="M74" s="109">
        <f t="shared" si="7"/>
        <v>109</v>
      </c>
      <c r="P74">
        <f t="shared" si="12"/>
        <v>5</v>
      </c>
      <c r="Q74" s="109">
        <f t="shared" si="8"/>
        <v>640</v>
      </c>
      <c r="R74" s="109">
        <f>SUMIF($J$41:$J$63,$P74,$W$41:$W$63)</f>
        <v>531</v>
      </c>
      <c r="S74" s="109">
        <f>SUMIF($J$41:$J$63,$P74,$V$41:$V$63)</f>
        <v>109</v>
      </c>
      <c r="AA74" s="7" t="b">
        <f t="shared" si="9"/>
        <v>1</v>
      </c>
      <c r="AB74" s="7" t="b">
        <f t="shared" si="10"/>
        <v>1</v>
      </c>
    </row>
    <row r="75" spans="10:28" ht="15.6" thickTop="1" thickBot="1" x14ac:dyDescent="0.35">
      <c r="J75">
        <f t="shared" si="11"/>
        <v>6</v>
      </c>
      <c r="K75" s="109">
        <f t="shared" si="5"/>
        <v>40</v>
      </c>
      <c r="L75" s="109">
        <f t="shared" si="6"/>
        <v>40</v>
      </c>
      <c r="M75" s="109">
        <f t="shared" si="7"/>
        <v>0</v>
      </c>
      <c r="P75">
        <f t="shared" si="12"/>
        <v>6</v>
      </c>
      <c r="Q75" s="109">
        <f t="shared" si="8"/>
        <v>40</v>
      </c>
      <c r="R75" s="109">
        <f>SUMIF($J$41:$J$63,$P75,$W$41:$W$63)</f>
        <v>40</v>
      </c>
      <c r="S75" s="109">
        <f>SUMIF($J$41:$J$63,$P75,$V$41:$V$63)</f>
        <v>0</v>
      </c>
      <c r="AA75" s="7" t="b">
        <f t="shared" si="9"/>
        <v>1</v>
      </c>
      <c r="AB75" s="7" t="b">
        <f t="shared" si="10"/>
        <v>1</v>
      </c>
    </row>
    <row r="76" spans="10:28" ht="15.6" thickTop="1" thickBot="1" x14ac:dyDescent="0.35">
      <c r="J76">
        <f t="shared" si="11"/>
        <v>7</v>
      </c>
      <c r="K76" s="109">
        <f t="shared" si="5"/>
        <v>3250</v>
      </c>
      <c r="L76" s="109">
        <f t="shared" si="6"/>
        <v>1920</v>
      </c>
      <c r="M76" s="109">
        <f t="shared" si="7"/>
        <v>1330</v>
      </c>
      <c r="P76">
        <f t="shared" si="12"/>
        <v>7</v>
      </c>
      <c r="Q76" s="109">
        <f t="shared" si="8"/>
        <v>3250</v>
      </c>
      <c r="R76" s="109">
        <v>1500</v>
      </c>
      <c r="S76" s="109">
        <f>Q76-R76</f>
        <v>1750</v>
      </c>
      <c r="T76" s="9" t="s">
        <v>781</v>
      </c>
      <c r="U76" s="9"/>
      <c r="V76" s="9"/>
      <c r="W76" s="9"/>
      <c r="X76" s="9"/>
      <c r="Y76" s="9"/>
      <c r="AA76" s="7" t="b">
        <f t="shared" si="9"/>
        <v>1</v>
      </c>
      <c r="AB76" s="7" t="b">
        <f t="shared" si="10"/>
        <v>1</v>
      </c>
    </row>
    <row r="77" spans="10:28" ht="15.6" thickTop="1" thickBot="1" x14ac:dyDescent="0.35">
      <c r="J77">
        <f t="shared" si="11"/>
        <v>8</v>
      </c>
      <c r="K77" s="109">
        <f t="shared" si="5"/>
        <v>1160</v>
      </c>
      <c r="L77" s="109">
        <f t="shared" si="6"/>
        <v>759</v>
      </c>
      <c r="M77" s="109">
        <f t="shared" si="7"/>
        <v>401</v>
      </c>
      <c r="P77">
        <f t="shared" si="12"/>
        <v>8</v>
      </c>
      <c r="Q77" s="109">
        <f t="shared" si="8"/>
        <v>1160</v>
      </c>
      <c r="R77" s="109">
        <f>SUMIF($J$41:$J$63,$P77,$W$41:$W$63)</f>
        <v>759</v>
      </c>
      <c r="S77" s="109">
        <f>SUMIF($J$41:$J$63,$P77,$V$41:$V$63)</f>
        <v>401</v>
      </c>
      <c r="AA77" s="7" t="b">
        <f t="shared" si="9"/>
        <v>1</v>
      </c>
      <c r="AB77" s="7" t="b">
        <f t="shared" si="10"/>
        <v>1</v>
      </c>
    </row>
    <row r="78" spans="10:28" ht="15.6" thickTop="1" thickBot="1" x14ac:dyDescent="0.35">
      <c r="J78" s="26">
        <f t="shared" si="11"/>
        <v>9</v>
      </c>
      <c r="K78" s="181">
        <f t="shared" si="5"/>
        <v>880</v>
      </c>
      <c r="L78" s="181">
        <f t="shared" si="6"/>
        <v>498</v>
      </c>
      <c r="M78" s="181">
        <f t="shared" si="7"/>
        <v>382</v>
      </c>
      <c r="P78" s="26">
        <f t="shared" si="12"/>
        <v>9</v>
      </c>
      <c r="Q78" s="181">
        <f t="shared" si="8"/>
        <v>880</v>
      </c>
      <c r="R78" s="181">
        <f>SUMIF($J$41:$J$63,$P78,$W$41:$W$63)</f>
        <v>498</v>
      </c>
      <c r="S78" s="181">
        <f>SUMIF($J$41:$J$63,$P78,$V$41:$V$63)</f>
        <v>382</v>
      </c>
      <c r="AA78" s="7" t="b">
        <f t="shared" si="9"/>
        <v>1</v>
      </c>
      <c r="AB78" s="7" t="b">
        <f t="shared" si="10"/>
        <v>1</v>
      </c>
    </row>
    <row r="79" spans="10:28" ht="15.6" thickTop="1" thickBot="1" x14ac:dyDescent="0.35">
      <c r="K79" s="109">
        <f>SUM(K70:K78)</f>
        <v>10537</v>
      </c>
      <c r="L79" s="109">
        <f>SUM(L70:L78)</f>
        <v>6920.5</v>
      </c>
      <c r="M79" s="109">
        <f>SUM(M70:M78)</f>
        <v>3616.5</v>
      </c>
      <c r="Q79" s="109">
        <f>SUM(Q70:Q78)</f>
        <v>10537</v>
      </c>
      <c r="R79" s="5">
        <f>SUM(R70:R78)</f>
        <v>5345.5</v>
      </c>
      <c r="S79" s="5">
        <f>SUM(S70:S78)</f>
        <v>5191.5</v>
      </c>
      <c r="AA79" s="7" t="b">
        <f>Q79=T65</f>
        <v>1</v>
      </c>
    </row>
    <row r="80" spans="10:28" ht="15" thickTop="1" x14ac:dyDescent="0.3"/>
    <row r="81" spans="2:23" s="26" customFormat="1" x14ac:dyDescent="0.3">
      <c r="B81" s="26" t="s">
        <v>18</v>
      </c>
    </row>
    <row r="84" spans="2:23" x14ac:dyDescent="0.3">
      <c r="K84" s="182" t="s">
        <v>788</v>
      </c>
    </row>
    <row r="86" spans="2:23" x14ac:dyDescent="0.3">
      <c r="J86" s="26" t="s">
        <v>326</v>
      </c>
      <c r="K86" s="26" t="s">
        <v>325</v>
      </c>
      <c r="L86" s="26" t="s">
        <v>52</v>
      </c>
      <c r="M86" s="26" t="s">
        <v>324</v>
      </c>
      <c r="N86" s="26" t="s">
        <v>323</v>
      </c>
      <c r="O86" s="26" t="s">
        <v>322</v>
      </c>
      <c r="P86" s="26" t="s">
        <v>42</v>
      </c>
      <c r="Q86" t="s">
        <v>787</v>
      </c>
      <c r="R86" t="s">
        <v>786</v>
      </c>
      <c r="S86" t="s">
        <v>51</v>
      </c>
      <c r="T86" t="s">
        <v>652</v>
      </c>
      <c r="U86" t="s">
        <v>785</v>
      </c>
      <c r="V86" t="s">
        <v>627</v>
      </c>
      <c r="W86" t="s">
        <v>760</v>
      </c>
    </row>
    <row r="87" spans="2:23" x14ac:dyDescent="0.3">
      <c r="J87">
        <v>1</v>
      </c>
      <c r="K87" t="s">
        <v>321</v>
      </c>
      <c r="L87" t="s">
        <v>292</v>
      </c>
      <c r="M87" t="s">
        <v>49</v>
      </c>
      <c r="N87" t="s">
        <v>320</v>
      </c>
      <c r="O87">
        <v>80</v>
      </c>
      <c r="P87" t="s">
        <v>40</v>
      </c>
      <c r="Q87">
        <f>VLOOKUP(P87,$C$35:$E$37,2,0)</f>
        <v>0</v>
      </c>
      <c r="R87" t="s">
        <v>332</v>
      </c>
      <c r="S87">
        <f>INDEX($E$41:$E$43,MATCH(M87,$D$41:$D$43,0))</f>
        <v>0.35</v>
      </c>
      <c r="T87">
        <f>O87*(1-S87)</f>
        <v>52</v>
      </c>
      <c r="U87" s="14"/>
      <c r="V87">
        <v>0</v>
      </c>
      <c r="W87">
        <f>T87-V87</f>
        <v>52</v>
      </c>
    </row>
    <row r="88" spans="2:23" x14ac:dyDescent="0.3">
      <c r="J88">
        <v>2</v>
      </c>
      <c r="K88" t="s">
        <v>317</v>
      </c>
      <c r="L88" t="s">
        <v>292</v>
      </c>
      <c r="M88" t="s">
        <v>49</v>
      </c>
      <c r="N88" t="s">
        <v>301</v>
      </c>
      <c r="O88">
        <v>50</v>
      </c>
      <c r="P88" t="s">
        <v>40</v>
      </c>
      <c r="Q88">
        <f>VLOOKUP(P88,$C$35:$E$37,2,0)</f>
        <v>0</v>
      </c>
      <c r="R88" t="s">
        <v>332</v>
      </c>
      <c r="S88">
        <f>INDEX($E$41:$E$43,MATCH(M88,$D$41:$D$43,0))</f>
        <v>0.35</v>
      </c>
      <c r="T88">
        <f>O88*(1-S88)</f>
        <v>32.5</v>
      </c>
      <c r="U88" s="14"/>
      <c r="V88">
        <v>0</v>
      </c>
      <c r="W88">
        <f>T88-V88</f>
        <v>32.5</v>
      </c>
    </row>
    <row r="89" spans="2:23" x14ac:dyDescent="0.3">
      <c r="J89">
        <v>6</v>
      </c>
      <c r="K89" t="s">
        <v>302</v>
      </c>
      <c r="L89" t="s">
        <v>292</v>
      </c>
      <c r="M89" t="s">
        <v>49</v>
      </c>
      <c r="N89" t="s">
        <v>301</v>
      </c>
      <c r="O89">
        <v>50</v>
      </c>
      <c r="P89" t="s">
        <v>40</v>
      </c>
      <c r="Q89">
        <f>VLOOKUP(P89,$C$35:$E$37,2,0)</f>
        <v>0</v>
      </c>
      <c r="R89" t="s">
        <v>332</v>
      </c>
      <c r="S89">
        <f>INDEX($E$41:$E$43,MATCH(M89,$D$41:$D$43,0))</f>
        <v>0.35</v>
      </c>
      <c r="T89">
        <f>O89*(1-S89)</f>
        <v>32.5</v>
      </c>
      <c r="U89" s="14"/>
      <c r="V89">
        <v>0</v>
      </c>
      <c r="W89">
        <f>T89-V89</f>
        <v>32.5</v>
      </c>
    </row>
    <row r="90" spans="2:23" x14ac:dyDescent="0.3">
      <c r="U90" s="14"/>
    </row>
    <row r="91" spans="2:23" x14ac:dyDescent="0.3">
      <c r="J91">
        <v>1</v>
      </c>
      <c r="K91" t="s">
        <v>319</v>
      </c>
      <c r="L91" t="s">
        <v>292</v>
      </c>
      <c r="M91" t="s">
        <v>49</v>
      </c>
      <c r="N91" t="s">
        <v>318</v>
      </c>
      <c r="O91">
        <v>600</v>
      </c>
      <c r="P91" t="s">
        <v>39</v>
      </c>
      <c r="Q91">
        <f t="shared" ref="Q91:Q96" si="13">VLOOKUP(P91,$C$35:$E$37,2,0)</f>
        <v>0.1</v>
      </c>
      <c r="R91">
        <v>0</v>
      </c>
      <c r="S91">
        <f t="shared" ref="S91:S96" si="14">INDEX($E$41:$E$43,MATCH(M91,$D$41:$D$43,0))</f>
        <v>0.35</v>
      </c>
      <c r="T91">
        <f t="shared" ref="T91:T96" si="15">O91*(1-S91)</f>
        <v>390</v>
      </c>
      <c r="U91" s="14"/>
      <c r="V91">
        <f>R91+(T91-R91)*Q91</f>
        <v>39</v>
      </c>
      <c r="W91">
        <f t="shared" ref="W91:W96" si="16">T91-V91</f>
        <v>351</v>
      </c>
    </row>
    <row r="92" spans="2:23" x14ac:dyDescent="0.3">
      <c r="J92">
        <v>3</v>
      </c>
      <c r="K92" t="s">
        <v>316</v>
      </c>
      <c r="L92" t="s">
        <v>292</v>
      </c>
      <c r="M92" t="s">
        <v>49</v>
      </c>
      <c r="N92" t="s">
        <v>315</v>
      </c>
      <c r="O92">
        <v>750</v>
      </c>
      <c r="P92" t="s">
        <v>39</v>
      </c>
      <c r="Q92">
        <f t="shared" si="13"/>
        <v>0.1</v>
      </c>
      <c r="R92">
        <v>0</v>
      </c>
      <c r="S92">
        <f t="shared" si="14"/>
        <v>0.35</v>
      </c>
      <c r="T92">
        <f t="shared" si="15"/>
        <v>487.5</v>
      </c>
      <c r="U92" s="14"/>
      <c r="V92">
        <f>R92+(T92-R92)*Q92</f>
        <v>48.75</v>
      </c>
      <c r="W92">
        <f t="shared" si="16"/>
        <v>438.75</v>
      </c>
    </row>
    <row r="93" spans="2:23" x14ac:dyDescent="0.3">
      <c r="J93">
        <v>5</v>
      </c>
      <c r="K93" t="s">
        <v>303</v>
      </c>
      <c r="L93" t="s">
        <v>292</v>
      </c>
      <c r="M93" t="s">
        <v>49</v>
      </c>
      <c r="N93" t="s">
        <v>298</v>
      </c>
      <c r="O93">
        <v>800</v>
      </c>
      <c r="P93" t="s">
        <v>39</v>
      </c>
      <c r="Q93">
        <f t="shared" si="13"/>
        <v>0.1</v>
      </c>
      <c r="R93">
        <v>0</v>
      </c>
      <c r="S93">
        <f t="shared" si="14"/>
        <v>0.35</v>
      </c>
      <c r="T93">
        <f t="shared" si="15"/>
        <v>520</v>
      </c>
      <c r="U93" s="14"/>
      <c r="V93">
        <f>R93+(T93-R93)*Q93</f>
        <v>52</v>
      </c>
      <c r="W93">
        <f t="shared" si="16"/>
        <v>468</v>
      </c>
    </row>
    <row r="94" spans="2:23" x14ac:dyDescent="0.3">
      <c r="J94">
        <v>8</v>
      </c>
      <c r="K94" t="s">
        <v>297</v>
      </c>
      <c r="L94" t="s">
        <v>292</v>
      </c>
      <c r="M94" t="s">
        <v>49</v>
      </c>
      <c r="N94" t="s">
        <v>298</v>
      </c>
      <c r="O94">
        <v>150</v>
      </c>
      <c r="P94" t="s">
        <v>39</v>
      </c>
      <c r="Q94">
        <f t="shared" si="13"/>
        <v>0.1</v>
      </c>
      <c r="R94">
        <v>0</v>
      </c>
      <c r="S94">
        <f t="shared" si="14"/>
        <v>0.35</v>
      </c>
      <c r="T94">
        <f t="shared" si="15"/>
        <v>97.5</v>
      </c>
      <c r="U94" s="14"/>
      <c r="V94">
        <f>R94+(T94-R94)*Q94</f>
        <v>9.75</v>
      </c>
      <c r="W94">
        <f t="shared" si="16"/>
        <v>87.75</v>
      </c>
    </row>
    <row r="95" spans="2:23" x14ac:dyDescent="0.3">
      <c r="J95">
        <v>8</v>
      </c>
      <c r="K95" t="s">
        <v>297</v>
      </c>
      <c r="L95" t="s">
        <v>292</v>
      </c>
      <c r="M95" t="s">
        <v>49</v>
      </c>
      <c r="N95" t="s">
        <v>296</v>
      </c>
      <c r="O95">
        <v>300</v>
      </c>
      <c r="P95" t="s">
        <v>39</v>
      </c>
      <c r="Q95">
        <f t="shared" si="13"/>
        <v>0.1</v>
      </c>
      <c r="R95">
        <v>0</v>
      </c>
      <c r="S95">
        <f t="shared" si="14"/>
        <v>0.35</v>
      </c>
      <c r="T95">
        <f t="shared" si="15"/>
        <v>195</v>
      </c>
      <c r="U95" s="14" t="s">
        <v>471</v>
      </c>
      <c r="V95">
        <f>T95*Q95</f>
        <v>19.5</v>
      </c>
      <c r="W95">
        <f t="shared" si="16"/>
        <v>175.5</v>
      </c>
    </row>
    <row r="96" spans="2:23" x14ac:dyDescent="0.3">
      <c r="J96">
        <v>3</v>
      </c>
      <c r="K96" t="s">
        <v>314</v>
      </c>
      <c r="L96" t="s">
        <v>292</v>
      </c>
      <c r="M96" t="s">
        <v>49</v>
      </c>
      <c r="N96" t="s">
        <v>313</v>
      </c>
      <c r="O96">
        <v>1000</v>
      </c>
      <c r="P96" t="s">
        <v>39</v>
      </c>
      <c r="Q96">
        <f t="shared" si="13"/>
        <v>0.1</v>
      </c>
      <c r="R96">
        <v>0</v>
      </c>
      <c r="S96">
        <f t="shared" si="14"/>
        <v>0.35</v>
      </c>
      <c r="T96">
        <f t="shared" si="15"/>
        <v>650</v>
      </c>
      <c r="U96" s="14" t="s">
        <v>471</v>
      </c>
      <c r="V96">
        <f>T96*Q96</f>
        <v>65</v>
      </c>
      <c r="W96">
        <f t="shared" si="16"/>
        <v>585</v>
      </c>
    </row>
    <row r="98" spans="10:23" x14ac:dyDescent="0.3">
      <c r="J98">
        <v>3</v>
      </c>
      <c r="K98" t="s">
        <v>312</v>
      </c>
      <c r="L98" t="s">
        <v>292</v>
      </c>
      <c r="M98" t="s">
        <v>49</v>
      </c>
      <c r="N98" t="s">
        <v>311</v>
      </c>
      <c r="O98">
        <v>1400</v>
      </c>
      <c r="P98" t="s">
        <v>38</v>
      </c>
      <c r="Q98">
        <f>VLOOKUP(P98,$C$35:$E$37,2,0)</f>
        <v>0.4</v>
      </c>
      <c r="R98">
        <v>0</v>
      </c>
      <c r="S98">
        <f>INDEX($E$41:$E$43,MATCH(M98,$D$41:$D$43,0))</f>
        <v>0.35</v>
      </c>
      <c r="T98">
        <f>O98*(1-S98)</f>
        <v>910</v>
      </c>
      <c r="U98" s="14" t="s">
        <v>471</v>
      </c>
      <c r="V98">
        <f>T98*Q98</f>
        <v>364</v>
      </c>
      <c r="W98">
        <f>T98-V98</f>
        <v>546</v>
      </c>
    </row>
    <row r="99" spans="10:23" x14ac:dyDescent="0.3">
      <c r="J99">
        <v>3</v>
      </c>
      <c r="K99" t="s">
        <v>310</v>
      </c>
      <c r="L99" t="s">
        <v>292</v>
      </c>
      <c r="M99" t="s">
        <v>49</v>
      </c>
      <c r="N99" t="s">
        <v>309</v>
      </c>
      <c r="O99">
        <v>1600</v>
      </c>
      <c r="P99" t="s">
        <v>38</v>
      </c>
      <c r="Q99">
        <f>VLOOKUP(P99,$C$35:$E$37,2,0)</f>
        <v>0.4</v>
      </c>
      <c r="R99">
        <v>0</v>
      </c>
      <c r="S99">
        <f>INDEX($E$41:$E$43,MATCH(M99,$D$41:$D$43,0))</f>
        <v>0.35</v>
      </c>
      <c r="T99">
        <f>O99*(1-S99)</f>
        <v>1040</v>
      </c>
      <c r="U99" s="14" t="s">
        <v>471</v>
      </c>
      <c r="V99">
        <f>T99*Q99</f>
        <v>416</v>
      </c>
      <c r="W99">
        <f>T99-V99</f>
        <v>624</v>
      </c>
    </row>
    <row r="100" spans="10:23" x14ac:dyDescent="0.3">
      <c r="J100">
        <v>7</v>
      </c>
      <c r="K100" t="s">
        <v>300</v>
      </c>
      <c r="L100" t="s">
        <v>292</v>
      </c>
      <c r="M100" t="s">
        <v>49</v>
      </c>
      <c r="N100" t="s">
        <v>299</v>
      </c>
      <c r="O100">
        <v>5000</v>
      </c>
      <c r="P100" t="s">
        <v>38</v>
      </c>
      <c r="Q100">
        <f>VLOOKUP(P100,$C$35:$E$37,2,0)</f>
        <v>0.4</v>
      </c>
      <c r="R100">
        <v>0</v>
      </c>
      <c r="S100">
        <f>INDEX($E$41:$E$43,MATCH(M100,$D$41:$D$43,0))</f>
        <v>0.35</v>
      </c>
      <c r="T100">
        <f>O100*(1-S100)</f>
        <v>3250</v>
      </c>
      <c r="U100" s="14"/>
      <c r="V100">
        <f>R100+(T100-R100)*Q100</f>
        <v>1300</v>
      </c>
      <c r="W100">
        <f>T100-V100</f>
        <v>1950</v>
      </c>
    </row>
    <row r="101" spans="10:23" x14ac:dyDescent="0.3">
      <c r="J101">
        <v>8</v>
      </c>
      <c r="K101" t="s">
        <v>295</v>
      </c>
      <c r="L101" t="s">
        <v>292</v>
      </c>
      <c r="M101" t="s">
        <v>49</v>
      </c>
      <c r="N101" t="s">
        <v>294</v>
      </c>
      <c r="O101">
        <v>1000</v>
      </c>
      <c r="P101" t="s">
        <v>38</v>
      </c>
      <c r="Q101">
        <f>VLOOKUP(P101,$C$35:$E$37,2,0)</f>
        <v>0.4</v>
      </c>
      <c r="R101">
        <v>0</v>
      </c>
      <c r="S101">
        <f>INDEX($E$41:$E$43,MATCH(M101,$D$41:$D$43,0))</f>
        <v>0.35</v>
      </c>
      <c r="T101">
        <f>O101*(1-S101)</f>
        <v>650</v>
      </c>
      <c r="U101" s="14" t="s">
        <v>471</v>
      </c>
      <c r="V101">
        <f>T101*Q101</f>
        <v>260</v>
      </c>
      <c r="W101">
        <f>T101-V101</f>
        <v>390</v>
      </c>
    </row>
    <row r="102" spans="10:23" x14ac:dyDescent="0.3">
      <c r="J102">
        <v>9</v>
      </c>
      <c r="K102" t="s">
        <v>293</v>
      </c>
      <c r="L102" t="s">
        <v>292</v>
      </c>
      <c r="M102" t="s">
        <v>49</v>
      </c>
      <c r="N102" t="s">
        <v>291</v>
      </c>
      <c r="O102">
        <v>1100</v>
      </c>
      <c r="P102" t="s">
        <v>38</v>
      </c>
      <c r="Q102">
        <f>VLOOKUP(P102,$C$35:$E$37,2,0)</f>
        <v>0.4</v>
      </c>
      <c r="R102">
        <v>0</v>
      </c>
      <c r="S102">
        <f>INDEX($E$41:$E$43,MATCH(M102,$D$41:$D$43,0))</f>
        <v>0.35</v>
      </c>
      <c r="T102">
        <f>O102*(1-S102)</f>
        <v>715</v>
      </c>
      <c r="U102" s="14"/>
      <c r="V102">
        <f>R102+(T102-R102)*Q102</f>
        <v>286</v>
      </c>
      <c r="W102">
        <f>T102-V102</f>
        <v>429</v>
      </c>
    </row>
    <row r="103" spans="10:23" x14ac:dyDescent="0.3">
      <c r="U103" s="14"/>
    </row>
    <row r="104" spans="10:23" x14ac:dyDescent="0.3">
      <c r="K104" s="182" t="s">
        <v>784</v>
      </c>
      <c r="U104" s="14"/>
    </row>
    <row r="105" spans="10:23" x14ac:dyDescent="0.3">
      <c r="U105" s="14"/>
    </row>
    <row r="106" spans="10:23" x14ac:dyDescent="0.3">
      <c r="J106" s="26" t="s">
        <v>326</v>
      </c>
      <c r="K106" s="26" t="s">
        <v>325</v>
      </c>
      <c r="L106" s="26" t="s">
        <v>52</v>
      </c>
      <c r="M106" s="26" t="s">
        <v>324</v>
      </c>
      <c r="N106" s="26" t="s">
        <v>323</v>
      </c>
      <c r="O106" s="26" t="s">
        <v>322</v>
      </c>
      <c r="P106" s="26" t="s">
        <v>42</v>
      </c>
    </row>
    <row r="107" spans="10:23" x14ac:dyDescent="0.3">
      <c r="J107">
        <v>4</v>
      </c>
      <c r="K107" t="s">
        <v>308</v>
      </c>
      <c r="L107" t="s">
        <v>292</v>
      </c>
      <c r="M107" t="s">
        <v>49</v>
      </c>
      <c r="N107" t="s">
        <v>301</v>
      </c>
      <c r="O107">
        <v>50</v>
      </c>
      <c r="P107" t="s">
        <v>40</v>
      </c>
      <c r="Q107">
        <f>VLOOKUP(P107,$C$35:$E$37,2,0)</f>
        <v>0</v>
      </c>
      <c r="R107">
        <v>0</v>
      </c>
      <c r="S107">
        <f>INDEX($E$41:$E$43,MATCH(M107,$D$41:$D$43,0))</f>
        <v>0.35</v>
      </c>
      <c r="T107">
        <f>O107*(1-S107)</f>
        <v>32.5</v>
      </c>
      <c r="U107" s="14"/>
      <c r="V107">
        <v>0</v>
      </c>
      <c r="W107">
        <f>T107-V107</f>
        <v>32.5</v>
      </c>
    </row>
    <row r="108" spans="10:23" x14ac:dyDescent="0.3">
      <c r="U108" s="14"/>
    </row>
    <row r="109" spans="10:23" x14ac:dyDescent="0.3">
      <c r="J109">
        <v>4</v>
      </c>
      <c r="K109" t="s">
        <v>307</v>
      </c>
      <c r="L109" t="s">
        <v>292</v>
      </c>
      <c r="M109" t="s">
        <v>49</v>
      </c>
      <c r="N109" t="s">
        <v>304</v>
      </c>
      <c r="O109">
        <v>250</v>
      </c>
      <c r="P109" t="s">
        <v>39</v>
      </c>
      <c r="Q109">
        <f>VLOOKUP(P109,$C$35:$E$37,2,0)</f>
        <v>0.1</v>
      </c>
      <c r="R109">
        <v>0</v>
      </c>
      <c r="S109">
        <f>INDEX($E$41:$E$43,MATCH(M109,$D$41:$D$43,0))</f>
        <v>0.35</v>
      </c>
      <c r="T109">
        <f>O109*(1-S109)</f>
        <v>162.5</v>
      </c>
      <c r="U109" s="14"/>
      <c r="V109">
        <f>R109+(T109-R109)*Q109</f>
        <v>16.25</v>
      </c>
      <c r="W109">
        <f>T109-V109</f>
        <v>146.25</v>
      </c>
    </row>
    <row r="111" spans="10:23" x14ac:dyDescent="0.3">
      <c r="T111">
        <f>SUM(T87:T109)</f>
        <v>9217</v>
      </c>
      <c r="V111">
        <f>SUM(V87:V109)</f>
        <v>2876.25</v>
      </c>
      <c r="W111">
        <f>SUM(W87:W109)</f>
        <v>6340.75</v>
      </c>
    </row>
    <row r="114" spans="10:28" x14ac:dyDescent="0.3">
      <c r="J114" s="396" t="s">
        <v>783</v>
      </c>
      <c r="K114" s="396"/>
      <c r="L114" s="396"/>
      <c r="M114" s="396"/>
    </row>
    <row r="115" spans="10:28" ht="15" thickBot="1" x14ac:dyDescent="0.35">
      <c r="J115" t="s">
        <v>326</v>
      </c>
      <c r="K115" t="s">
        <v>652</v>
      </c>
      <c r="L115" t="s">
        <v>760</v>
      </c>
      <c r="M115" t="s">
        <v>627</v>
      </c>
      <c r="P115" t="s">
        <v>326</v>
      </c>
      <c r="Q115" t="s">
        <v>652</v>
      </c>
      <c r="R115" t="s">
        <v>760</v>
      </c>
      <c r="S115" t="s">
        <v>627</v>
      </c>
      <c r="AA115" t="s">
        <v>10</v>
      </c>
      <c r="AB115" t="s">
        <v>782</v>
      </c>
    </row>
    <row r="116" spans="10:28" ht="15.6" thickTop="1" thickBot="1" x14ac:dyDescent="0.35">
      <c r="J116">
        <v>1</v>
      </c>
      <c r="K116" s="109">
        <f t="shared" ref="K116:K124" si="17">SUMIF($J$87:$J$109,$P116,$T$87:$T$109)</f>
        <v>442</v>
      </c>
      <c r="L116" s="109">
        <f t="shared" ref="L116:L124" si="18">SUMIF($J$87:$J$109,$P116,$W$87:$W$109)</f>
        <v>403</v>
      </c>
      <c r="M116" s="109">
        <f t="shared" ref="M116:M124" si="19">SUMIF($J$87:$J$109,$P116,$V$87:$V$109)</f>
        <v>39</v>
      </c>
      <c r="P116">
        <v>1</v>
      </c>
      <c r="Q116" s="109">
        <f t="shared" ref="Q116:Q124" si="20">SUMIF($J$87:$J$109,$P116,$T$87:$T$109)</f>
        <v>442</v>
      </c>
      <c r="R116" s="109">
        <f>SUMIF($J$87:$J$109,$P116,$W$87:$W$109)</f>
        <v>403</v>
      </c>
      <c r="S116" s="109">
        <f>SUMIF($J$87:$J$109,$P116,$V$87:$V$109)</f>
        <v>39</v>
      </c>
      <c r="AA116" s="7" t="b">
        <f t="shared" ref="AA116:AA124" si="21">Q116-R116=S116</f>
        <v>1</v>
      </c>
      <c r="AB116" s="7" t="b">
        <f t="shared" ref="AB116:AB124" si="22">R116&lt;=1500</f>
        <v>1</v>
      </c>
    </row>
    <row r="117" spans="10:28" ht="15.6" thickTop="1" thickBot="1" x14ac:dyDescent="0.35">
      <c r="J117">
        <f t="shared" ref="J117:J124" si="23">1+J116</f>
        <v>2</v>
      </c>
      <c r="K117" s="109">
        <f t="shared" si="17"/>
        <v>32.5</v>
      </c>
      <c r="L117" s="109">
        <f t="shared" si="18"/>
        <v>32.5</v>
      </c>
      <c r="M117" s="109">
        <f t="shared" si="19"/>
        <v>0</v>
      </c>
      <c r="P117">
        <f t="shared" ref="P117:P124" si="24">1+P116</f>
        <v>2</v>
      </c>
      <c r="Q117" s="109">
        <f t="shared" si="20"/>
        <v>32.5</v>
      </c>
      <c r="R117" s="109">
        <f>SUMIF($J$87:$J$109,$P117,$W$87:$W$109)</f>
        <v>32.5</v>
      </c>
      <c r="S117" s="109">
        <f>SUMIF($J$87:$J$109,$P117,$V$87:$V$109)</f>
        <v>0</v>
      </c>
      <c r="AA117" s="7" t="b">
        <f t="shared" si="21"/>
        <v>1</v>
      </c>
      <c r="AB117" s="7" t="b">
        <f t="shared" si="22"/>
        <v>1</v>
      </c>
    </row>
    <row r="118" spans="10:28" ht="15.6" thickTop="1" thickBot="1" x14ac:dyDescent="0.35">
      <c r="J118">
        <f t="shared" si="23"/>
        <v>3</v>
      </c>
      <c r="K118" s="109">
        <f t="shared" si="17"/>
        <v>3087.5</v>
      </c>
      <c r="L118" s="109">
        <f t="shared" si="18"/>
        <v>2193.75</v>
      </c>
      <c r="M118" s="109">
        <f t="shared" si="19"/>
        <v>893.75</v>
      </c>
      <c r="P118">
        <f t="shared" si="24"/>
        <v>3</v>
      </c>
      <c r="Q118" s="109">
        <f t="shared" si="20"/>
        <v>3087.5</v>
      </c>
      <c r="R118" s="109">
        <v>1500</v>
      </c>
      <c r="S118" s="109">
        <f>Q118-R118</f>
        <v>1587.5</v>
      </c>
      <c r="T118" s="9" t="s">
        <v>781</v>
      </c>
      <c r="U118" s="9"/>
      <c r="V118" s="9"/>
      <c r="W118" s="9"/>
      <c r="X118" s="9"/>
      <c r="Y118" s="9"/>
      <c r="AA118" s="7" t="b">
        <f t="shared" si="21"/>
        <v>1</v>
      </c>
      <c r="AB118" s="7" t="b">
        <f t="shared" si="22"/>
        <v>1</v>
      </c>
    </row>
    <row r="119" spans="10:28" ht="15.6" thickTop="1" thickBot="1" x14ac:dyDescent="0.35">
      <c r="J119">
        <f t="shared" si="23"/>
        <v>4</v>
      </c>
      <c r="K119" s="109">
        <f t="shared" si="17"/>
        <v>195</v>
      </c>
      <c r="L119" s="109">
        <f t="shared" si="18"/>
        <v>178.75</v>
      </c>
      <c r="M119" s="109">
        <f t="shared" si="19"/>
        <v>16.25</v>
      </c>
      <c r="P119">
        <f t="shared" si="24"/>
        <v>4</v>
      </c>
      <c r="Q119" s="109">
        <f t="shared" si="20"/>
        <v>195</v>
      </c>
      <c r="R119" s="109">
        <f>SUMIF($J$87:$J$109,$P119,$W$87:$W$109)</f>
        <v>178.75</v>
      </c>
      <c r="S119" s="109">
        <f>SUMIF($J$87:$J$109,$P119,$V$87:$V$109)</f>
        <v>16.25</v>
      </c>
      <c r="AA119" s="7" t="b">
        <f t="shared" si="21"/>
        <v>1</v>
      </c>
      <c r="AB119" s="7" t="b">
        <f t="shared" si="22"/>
        <v>1</v>
      </c>
    </row>
    <row r="120" spans="10:28" ht="15.6" thickTop="1" thickBot="1" x14ac:dyDescent="0.35">
      <c r="J120">
        <f t="shared" si="23"/>
        <v>5</v>
      </c>
      <c r="K120" s="109">
        <f t="shared" si="17"/>
        <v>520</v>
      </c>
      <c r="L120" s="109">
        <f t="shared" si="18"/>
        <v>468</v>
      </c>
      <c r="M120" s="109">
        <f t="shared" si="19"/>
        <v>52</v>
      </c>
      <c r="P120">
        <f t="shared" si="24"/>
        <v>5</v>
      </c>
      <c r="Q120" s="109">
        <f t="shared" si="20"/>
        <v>520</v>
      </c>
      <c r="R120" s="109">
        <f>SUMIF($J$87:$J$109,$P120,$W$87:$W$109)</f>
        <v>468</v>
      </c>
      <c r="S120" s="109">
        <f>SUMIF($J$87:$J$109,$P120,$V$87:$V$109)</f>
        <v>52</v>
      </c>
      <c r="AA120" s="7" t="b">
        <f t="shared" si="21"/>
        <v>1</v>
      </c>
      <c r="AB120" s="7" t="b">
        <f t="shared" si="22"/>
        <v>1</v>
      </c>
    </row>
    <row r="121" spans="10:28" ht="15.6" thickTop="1" thickBot="1" x14ac:dyDescent="0.35">
      <c r="J121">
        <f t="shared" si="23"/>
        <v>6</v>
      </c>
      <c r="K121" s="109">
        <f t="shared" si="17"/>
        <v>32.5</v>
      </c>
      <c r="L121" s="109">
        <f t="shared" si="18"/>
        <v>32.5</v>
      </c>
      <c r="M121" s="109">
        <f t="shared" si="19"/>
        <v>0</v>
      </c>
      <c r="P121">
        <f t="shared" si="24"/>
        <v>6</v>
      </c>
      <c r="Q121" s="109">
        <f t="shared" si="20"/>
        <v>32.5</v>
      </c>
      <c r="R121" s="109">
        <f>SUMIF($J$87:$J$109,$P121,$W$87:$W$109)</f>
        <v>32.5</v>
      </c>
      <c r="S121" s="109">
        <f>SUMIF($J$87:$J$109,$P121,$V$87:$V$109)</f>
        <v>0</v>
      </c>
      <c r="AA121" s="7" t="b">
        <f t="shared" si="21"/>
        <v>1</v>
      </c>
      <c r="AB121" s="7" t="b">
        <f t="shared" si="22"/>
        <v>1</v>
      </c>
    </row>
    <row r="122" spans="10:28" ht="15.6" thickTop="1" thickBot="1" x14ac:dyDescent="0.35">
      <c r="J122">
        <f t="shared" si="23"/>
        <v>7</v>
      </c>
      <c r="K122" s="109">
        <f t="shared" si="17"/>
        <v>3250</v>
      </c>
      <c r="L122" s="109">
        <f t="shared" si="18"/>
        <v>1950</v>
      </c>
      <c r="M122" s="109">
        <f t="shared" si="19"/>
        <v>1300</v>
      </c>
      <c r="P122">
        <f t="shared" si="24"/>
        <v>7</v>
      </c>
      <c r="Q122" s="109">
        <f t="shared" si="20"/>
        <v>3250</v>
      </c>
      <c r="R122" s="109">
        <v>1500</v>
      </c>
      <c r="S122" s="109">
        <f>Q122-R122</f>
        <v>1750</v>
      </c>
      <c r="T122" s="9" t="s">
        <v>781</v>
      </c>
      <c r="U122" s="9"/>
      <c r="V122" s="9"/>
      <c r="W122" s="9"/>
      <c r="X122" s="9"/>
      <c r="Y122" s="9"/>
      <c r="AA122" s="7" t="b">
        <f t="shared" si="21"/>
        <v>1</v>
      </c>
      <c r="AB122" s="7" t="b">
        <f t="shared" si="22"/>
        <v>1</v>
      </c>
    </row>
    <row r="123" spans="10:28" ht="15.6" thickTop="1" thickBot="1" x14ac:dyDescent="0.35">
      <c r="J123">
        <f t="shared" si="23"/>
        <v>8</v>
      </c>
      <c r="K123" s="109">
        <f t="shared" si="17"/>
        <v>942.5</v>
      </c>
      <c r="L123" s="109">
        <f t="shared" si="18"/>
        <v>653.25</v>
      </c>
      <c r="M123" s="109">
        <f t="shared" si="19"/>
        <v>289.25</v>
      </c>
      <c r="P123">
        <f t="shared" si="24"/>
        <v>8</v>
      </c>
      <c r="Q123" s="109">
        <f t="shared" si="20"/>
        <v>942.5</v>
      </c>
      <c r="R123" s="109">
        <f>SUMIF($J$87:$J$109,$P123,$W$87:$W$109)</f>
        <v>653.25</v>
      </c>
      <c r="S123" s="109">
        <f>SUMIF($J$87:$J$109,$P123,$V$87:$V$109)</f>
        <v>289.25</v>
      </c>
      <c r="AA123" s="7" t="b">
        <f t="shared" si="21"/>
        <v>1</v>
      </c>
      <c r="AB123" s="7" t="b">
        <f t="shared" si="22"/>
        <v>1</v>
      </c>
    </row>
    <row r="124" spans="10:28" ht="15.6" thickTop="1" thickBot="1" x14ac:dyDescent="0.35">
      <c r="J124" s="26">
        <f t="shared" si="23"/>
        <v>9</v>
      </c>
      <c r="K124" s="181">
        <f t="shared" si="17"/>
        <v>715</v>
      </c>
      <c r="L124" s="181">
        <f t="shared" si="18"/>
        <v>429</v>
      </c>
      <c r="M124" s="181">
        <f t="shared" si="19"/>
        <v>286</v>
      </c>
      <c r="P124" s="26">
        <f t="shared" si="24"/>
        <v>9</v>
      </c>
      <c r="Q124" s="181">
        <f t="shared" si="20"/>
        <v>715</v>
      </c>
      <c r="R124" s="181">
        <f>SUMIF($J$87:$J$109,$P124,$W$87:$W$109)</f>
        <v>429</v>
      </c>
      <c r="S124" s="181">
        <f>SUMIF($J$87:$J$109,$P124,$V$87:$V$109)</f>
        <v>286</v>
      </c>
      <c r="AA124" s="7" t="b">
        <f t="shared" si="21"/>
        <v>1</v>
      </c>
      <c r="AB124" s="7" t="b">
        <f t="shared" si="22"/>
        <v>1</v>
      </c>
    </row>
    <row r="125" spans="10:28" ht="15.6" thickTop="1" thickBot="1" x14ac:dyDescent="0.35">
      <c r="K125" s="109">
        <f>SUM(K116:K124)</f>
        <v>9217</v>
      </c>
      <c r="L125" s="109">
        <f>SUM(L116:L124)</f>
        <v>6340.75</v>
      </c>
      <c r="M125" s="109">
        <f>SUM(M116:M124)</f>
        <v>2876.25</v>
      </c>
      <c r="Q125" s="109">
        <f>SUM(Q116:Q124)</f>
        <v>9217</v>
      </c>
      <c r="R125" s="180">
        <f>SUM(R116:R124)</f>
        <v>5197</v>
      </c>
      <c r="S125" s="180">
        <f>SUM(S116:S124)</f>
        <v>4020</v>
      </c>
      <c r="AA125" s="7" t="b">
        <f>Q125=T111</f>
        <v>1</v>
      </c>
    </row>
    <row r="126" spans="10:28" ht="15" thickTop="1" x14ac:dyDescent="0.3"/>
    <row r="128" spans="10:28" x14ac:dyDescent="0.3">
      <c r="L128" s="180">
        <f>R125-R79</f>
        <v>-148.5</v>
      </c>
      <c r="M128" t="s">
        <v>780</v>
      </c>
    </row>
    <row r="129" spans="12:13" x14ac:dyDescent="0.3">
      <c r="L129" s="179">
        <f>1-R125/R79</f>
        <v>2.7780376017210728E-2</v>
      </c>
      <c r="M129" t="s">
        <v>779</v>
      </c>
    </row>
  </sheetData>
  <autoFilter ref="J17:P33" xr:uid="{560D0E98-BA15-472C-AEE7-E5075B17ECBC}"/>
  <mergeCells count="5">
    <mergeCell ref="C10:F10"/>
    <mergeCell ref="C14:G14"/>
    <mergeCell ref="J14:N14"/>
    <mergeCell ref="J68:M68"/>
    <mergeCell ref="J114:M11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D7B7A-3A2D-4D97-9AD3-1AED5AAD059A}">
  <sheetPr>
    <tabColor theme="5" tint="0.39997558519241921"/>
  </sheetPr>
  <dimension ref="A1:N75"/>
  <sheetViews>
    <sheetView workbookViewId="0">
      <selection activeCell="B5" sqref="B5"/>
    </sheetView>
  </sheetViews>
  <sheetFormatPr defaultRowHeight="14.4" x14ac:dyDescent="0.3"/>
  <cols>
    <col min="3" max="3" width="25.33203125" customWidth="1"/>
    <col min="4" max="5" width="13.88671875" customWidth="1"/>
    <col min="12" max="13" width="10.6640625" customWidth="1"/>
    <col min="20" max="20" width="11.33203125" customWidth="1"/>
  </cols>
  <sheetData>
    <row r="1" spans="1:14" ht="15" thickBot="1" x14ac:dyDescent="0.35">
      <c r="A1" t="s">
        <v>380</v>
      </c>
      <c r="G1" s="11" t="s">
        <v>13</v>
      </c>
      <c r="H1" s="10"/>
    </row>
    <row r="2" spans="1:14" x14ac:dyDescent="0.3">
      <c r="G2" s="9" t="s">
        <v>12</v>
      </c>
      <c r="H2" s="9"/>
    </row>
    <row r="3" spans="1:14" ht="15" thickBot="1" x14ac:dyDescent="0.35">
      <c r="G3" s="8" t="s">
        <v>11</v>
      </c>
      <c r="H3" s="8"/>
    </row>
    <row r="4" spans="1:14" ht="15.6" thickTop="1" thickBot="1" x14ac:dyDescent="0.35">
      <c r="G4" s="7" t="s">
        <v>10</v>
      </c>
      <c r="H4" s="7"/>
    </row>
    <row r="5" spans="1:14" ht="15" thickTop="1" x14ac:dyDescent="0.3">
      <c r="G5" s="6" t="s">
        <v>9</v>
      </c>
      <c r="H5" s="5"/>
    </row>
    <row r="9" spans="1:14" ht="15" thickBot="1" x14ac:dyDescent="0.35"/>
    <row r="10" spans="1:14" ht="15" thickBot="1" x14ac:dyDescent="0.35">
      <c r="C10" s="375" t="s">
        <v>8</v>
      </c>
      <c r="D10" s="376"/>
      <c r="E10" s="376"/>
      <c r="F10" s="377"/>
    </row>
    <row r="12" spans="1:14" x14ac:dyDescent="0.3">
      <c r="D12" t="s">
        <v>379</v>
      </c>
    </row>
    <row r="13" spans="1:14" x14ac:dyDescent="0.3">
      <c r="D13" t="s">
        <v>378</v>
      </c>
    </row>
    <row r="14" spans="1:14" ht="15" thickBot="1" x14ac:dyDescent="0.35"/>
    <row r="15" spans="1:14" ht="15" thickBot="1" x14ac:dyDescent="0.35">
      <c r="C15" s="375" t="s">
        <v>4</v>
      </c>
      <c r="D15" s="376"/>
      <c r="E15" s="376"/>
      <c r="F15" s="376"/>
      <c r="G15" s="377"/>
      <c r="J15" s="375" t="s">
        <v>3</v>
      </c>
      <c r="K15" s="376"/>
      <c r="L15" s="376"/>
      <c r="M15" s="376"/>
      <c r="N15" s="377"/>
    </row>
    <row r="16" spans="1:14" x14ac:dyDescent="0.3">
      <c r="A16" t="s">
        <v>27</v>
      </c>
    </row>
    <row r="17" spans="3:6" x14ac:dyDescent="0.3">
      <c r="C17" t="s">
        <v>377</v>
      </c>
      <c r="D17" s="14" t="s">
        <v>213</v>
      </c>
      <c r="E17" s="14" t="s">
        <v>289</v>
      </c>
    </row>
    <row r="18" spans="3:6" x14ac:dyDescent="0.3">
      <c r="C18" t="s">
        <v>340</v>
      </c>
      <c r="D18" s="14"/>
      <c r="E18" s="14"/>
    </row>
    <row r="19" spans="3:6" x14ac:dyDescent="0.3">
      <c r="C19" t="s">
        <v>339</v>
      </c>
      <c r="D19" s="14"/>
      <c r="E19" s="14"/>
    </row>
    <row r="20" spans="3:6" x14ac:dyDescent="0.3">
      <c r="C20" t="s">
        <v>337</v>
      </c>
      <c r="D20" s="14" t="s">
        <v>332</v>
      </c>
      <c r="E20" s="14" t="s">
        <v>332</v>
      </c>
    </row>
    <row r="21" spans="3:6" x14ac:dyDescent="0.3">
      <c r="C21" t="s">
        <v>336</v>
      </c>
      <c r="D21" s="108">
        <v>50</v>
      </c>
      <c r="E21" s="14" t="s">
        <v>332</v>
      </c>
    </row>
    <row r="22" spans="3:6" x14ac:dyDescent="0.3">
      <c r="C22" t="s">
        <v>338</v>
      </c>
      <c r="D22" s="14"/>
      <c r="E22" s="14"/>
    </row>
    <row r="23" spans="3:6" x14ac:dyDescent="0.3">
      <c r="C23" t="s">
        <v>337</v>
      </c>
      <c r="D23" s="108">
        <v>20</v>
      </c>
      <c r="E23" s="14" t="s">
        <v>147</v>
      </c>
    </row>
    <row r="24" spans="3:6" x14ac:dyDescent="0.3">
      <c r="C24" t="s">
        <v>336</v>
      </c>
      <c r="D24" s="108">
        <v>75</v>
      </c>
      <c r="E24" s="14" t="s">
        <v>147</v>
      </c>
    </row>
    <row r="25" spans="3:6" x14ac:dyDescent="0.3">
      <c r="C25" t="s">
        <v>335</v>
      </c>
      <c r="D25" s="108">
        <v>1500</v>
      </c>
      <c r="E25" s="14" t="s">
        <v>332</v>
      </c>
    </row>
    <row r="26" spans="3:6" x14ac:dyDescent="0.3">
      <c r="C26" t="s">
        <v>334</v>
      </c>
      <c r="D26" s="14"/>
      <c r="E26" s="14"/>
    </row>
    <row r="27" spans="3:6" x14ac:dyDescent="0.3">
      <c r="C27" t="s">
        <v>333</v>
      </c>
      <c r="D27" s="14" t="s">
        <v>332</v>
      </c>
      <c r="E27" s="14" t="s">
        <v>332</v>
      </c>
    </row>
    <row r="28" spans="3:6" x14ac:dyDescent="0.3">
      <c r="C28" t="s">
        <v>331</v>
      </c>
      <c r="D28" s="14" t="s">
        <v>330</v>
      </c>
      <c r="E28" s="14" t="s">
        <v>332</v>
      </c>
    </row>
    <row r="30" spans="3:6" x14ac:dyDescent="0.3">
      <c r="C30" t="s">
        <v>376</v>
      </c>
    </row>
    <row r="31" spans="3:6" x14ac:dyDescent="0.3">
      <c r="C31" t="s">
        <v>42</v>
      </c>
      <c r="D31" t="s">
        <v>375</v>
      </c>
      <c r="E31" t="s">
        <v>374</v>
      </c>
      <c r="F31" t="s">
        <v>289</v>
      </c>
    </row>
    <row r="32" spans="3:6" x14ac:dyDescent="0.3">
      <c r="C32" t="s">
        <v>40</v>
      </c>
      <c r="D32" s="95">
        <v>0</v>
      </c>
      <c r="E32" s="95">
        <v>0.2</v>
      </c>
      <c r="F32" s="95">
        <v>0</v>
      </c>
    </row>
    <row r="33" spans="3:8" x14ac:dyDescent="0.3">
      <c r="C33" t="s">
        <v>39</v>
      </c>
      <c r="D33" s="95">
        <v>0.1</v>
      </c>
      <c r="E33" s="95">
        <v>0.4</v>
      </c>
      <c r="F33" s="95">
        <v>0.05</v>
      </c>
    </row>
    <row r="34" spans="3:8" x14ac:dyDescent="0.3">
      <c r="C34" t="s">
        <v>38</v>
      </c>
      <c r="D34" s="95">
        <v>0.4</v>
      </c>
      <c r="E34" s="95">
        <v>0.7</v>
      </c>
      <c r="F34" s="95">
        <v>0.2</v>
      </c>
    </row>
    <row r="36" spans="3:8" x14ac:dyDescent="0.3">
      <c r="C36" t="s">
        <v>373</v>
      </c>
    </row>
    <row r="37" spans="3:8" x14ac:dyDescent="0.3">
      <c r="C37" t="s">
        <v>324</v>
      </c>
      <c r="D37" t="s">
        <v>52</v>
      </c>
      <c r="E37" t="s">
        <v>372</v>
      </c>
      <c r="F37" t="s">
        <v>371</v>
      </c>
    </row>
    <row r="38" spans="3:8" x14ac:dyDescent="0.3">
      <c r="C38" t="s">
        <v>292</v>
      </c>
      <c r="D38" t="s">
        <v>359</v>
      </c>
      <c r="E38" s="95">
        <v>0.35</v>
      </c>
      <c r="F38" s="95">
        <v>0.45</v>
      </c>
    </row>
    <row r="39" spans="3:8" x14ac:dyDescent="0.3">
      <c r="C39" t="s">
        <v>292</v>
      </c>
      <c r="D39" t="s">
        <v>48</v>
      </c>
      <c r="E39" s="95">
        <v>0.2</v>
      </c>
      <c r="F39" s="95">
        <v>0.25</v>
      </c>
    </row>
    <row r="40" spans="3:8" x14ac:dyDescent="0.3">
      <c r="C40" t="s">
        <v>356</v>
      </c>
      <c r="D40" t="s">
        <v>46</v>
      </c>
      <c r="E40" s="95">
        <v>0.05</v>
      </c>
      <c r="F40" t="s">
        <v>46</v>
      </c>
    </row>
    <row r="45" spans="3:8" x14ac:dyDescent="0.3">
      <c r="C45" t="s">
        <v>370</v>
      </c>
    </row>
    <row r="46" spans="3:8" x14ac:dyDescent="0.3">
      <c r="C46" t="s">
        <v>326</v>
      </c>
      <c r="D46" t="s">
        <v>325</v>
      </c>
      <c r="E46" t="s">
        <v>324</v>
      </c>
      <c r="F46" t="s">
        <v>52</v>
      </c>
      <c r="G46" t="s">
        <v>369</v>
      </c>
      <c r="H46" t="s">
        <v>322</v>
      </c>
    </row>
    <row r="47" spans="3:8" x14ac:dyDescent="0.3">
      <c r="C47" t="s">
        <v>358</v>
      </c>
      <c r="D47" t="s">
        <v>368</v>
      </c>
      <c r="E47" t="s">
        <v>292</v>
      </c>
      <c r="F47" t="s">
        <v>359</v>
      </c>
      <c r="G47" t="s">
        <v>40</v>
      </c>
      <c r="H47" s="88">
        <v>80</v>
      </c>
    </row>
    <row r="48" spans="3:8" x14ac:dyDescent="0.3">
      <c r="C48" t="s">
        <v>358</v>
      </c>
      <c r="D48" t="s">
        <v>367</v>
      </c>
      <c r="E48" t="s">
        <v>292</v>
      </c>
      <c r="F48" t="s">
        <v>359</v>
      </c>
      <c r="G48" t="s">
        <v>39</v>
      </c>
      <c r="H48" s="88">
        <v>600</v>
      </c>
    </row>
    <row r="49" spans="1:8" x14ac:dyDescent="0.3">
      <c r="C49" t="s">
        <v>358</v>
      </c>
      <c r="D49" t="s">
        <v>366</v>
      </c>
      <c r="E49" t="s">
        <v>292</v>
      </c>
      <c r="F49" t="s">
        <v>48</v>
      </c>
      <c r="G49" t="s">
        <v>40</v>
      </c>
      <c r="H49" s="88">
        <v>50</v>
      </c>
    </row>
    <row r="50" spans="1:8" x14ac:dyDescent="0.3">
      <c r="C50" t="s">
        <v>361</v>
      </c>
      <c r="D50" t="s">
        <v>365</v>
      </c>
      <c r="E50" t="s">
        <v>292</v>
      </c>
      <c r="F50" t="s">
        <v>359</v>
      </c>
      <c r="G50" t="s">
        <v>40</v>
      </c>
      <c r="H50" s="88">
        <v>80</v>
      </c>
    </row>
    <row r="51" spans="1:8" x14ac:dyDescent="0.3">
      <c r="C51" t="s">
        <v>361</v>
      </c>
      <c r="D51" t="s">
        <v>365</v>
      </c>
      <c r="E51" t="s">
        <v>292</v>
      </c>
      <c r="F51" t="s">
        <v>359</v>
      </c>
      <c r="G51" t="s">
        <v>40</v>
      </c>
      <c r="H51" s="88">
        <v>50</v>
      </c>
    </row>
    <row r="52" spans="1:8" x14ac:dyDescent="0.3">
      <c r="C52" t="s">
        <v>358</v>
      </c>
      <c r="D52" t="s">
        <v>364</v>
      </c>
      <c r="E52" t="s">
        <v>356</v>
      </c>
      <c r="F52" t="s">
        <v>46</v>
      </c>
      <c r="G52" t="s">
        <v>38</v>
      </c>
      <c r="H52" s="88">
        <v>1500</v>
      </c>
    </row>
    <row r="53" spans="1:8" x14ac:dyDescent="0.3">
      <c r="C53" t="s">
        <v>361</v>
      </c>
      <c r="D53" t="s">
        <v>363</v>
      </c>
      <c r="E53" t="s">
        <v>292</v>
      </c>
      <c r="F53" t="s">
        <v>359</v>
      </c>
      <c r="G53" t="s">
        <v>39</v>
      </c>
      <c r="H53" s="88">
        <v>150</v>
      </c>
    </row>
    <row r="54" spans="1:8" x14ac:dyDescent="0.3">
      <c r="C54" t="s">
        <v>361</v>
      </c>
      <c r="D54" t="s">
        <v>363</v>
      </c>
      <c r="E54" t="s">
        <v>292</v>
      </c>
      <c r="F54" t="s">
        <v>359</v>
      </c>
      <c r="G54" t="s">
        <v>39</v>
      </c>
      <c r="H54" s="88">
        <v>300</v>
      </c>
    </row>
    <row r="55" spans="1:8" x14ac:dyDescent="0.3">
      <c r="C55" t="s">
        <v>361</v>
      </c>
      <c r="D55" t="s">
        <v>362</v>
      </c>
      <c r="E55" t="s">
        <v>292</v>
      </c>
      <c r="F55" t="s">
        <v>48</v>
      </c>
      <c r="G55" t="s">
        <v>38</v>
      </c>
      <c r="H55" s="88">
        <v>1100</v>
      </c>
    </row>
    <row r="56" spans="1:8" x14ac:dyDescent="0.3">
      <c r="C56" t="s">
        <v>361</v>
      </c>
      <c r="D56" t="s">
        <v>360</v>
      </c>
      <c r="E56" t="s">
        <v>292</v>
      </c>
      <c r="F56" t="s">
        <v>359</v>
      </c>
      <c r="G56" t="s">
        <v>38</v>
      </c>
      <c r="H56" s="88">
        <v>2500</v>
      </c>
    </row>
    <row r="57" spans="1:8" x14ac:dyDescent="0.3">
      <c r="C57" t="s">
        <v>358</v>
      </c>
      <c r="D57" t="s">
        <v>357</v>
      </c>
      <c r="E57" t="s">
        <v>356</v>
      </c>
      <c r="F57" t="s">
        <v>46</v>
      </c>
      <c r="G57" t="s">
        <v>39</v>
      </c>
      <c r="H57" s="88">
        <v>750</v>
      </c>
    </row>
    <row r="60" spans="1:8" s="26" customFormat="1" x14ac:dyDescent="0.3">
      <c r="A60" s="26" t="s">
        <v>18</v>
      </c>
    </row>
    <row r="62" spans="1:8" x14ac:dyDescent="0.3">
      <c r="C62" t="s">
        <v>355</v>
      </c>
    </row>
    <row r="63" spans="1:8" x14ac:dyDescent="0.3">
      <c r="C63" t="s">
        <v>354</v>
      </c>
      <c r="D63" s="95">
        <v>0.04</v>
      </c>
    </row>
    <row r="64" spans="1:8" x14ac:dyDescent="0.3">
      <c r="C64" t="s">
        <v>353</v>
      </c>
      <c r="D64" s="95">
        <v>0.06</v>
      </c>
    </row>
    <row r="65" spans="3:6" x14ac:dyDescent="0.3">
      <c r="C65" t="s">
        <v>352</v>
      </c>
      <c r="D65" s="95">
        <v>0.08</v>
      </c>
    </row>
    <row r="66" spans="3:6" x14ac:dyDescent="0.3">
      <c r="C66" t="s">
        <v>351</v>
      </c>
      <c r="D66" s="95">
        <v>0.8</v>
      </c>
    </row>
    <row r="67" spans="3:6" x14ac:dyDescent="0.3">
      <c r="C67" t="s">
        <v>350</v>
      </c>
      <c r="D67" s="95">
        <v>0.2</v>
      </c>
    </row>
    <row r="68" spans="3:6" x14ac:dyDescent="0.3">
      <c r="C68" t="s">
        <v>349</v>
      </c>
      <c r="D68" s="95">
        <v>0.1</v>
      </c>
    </row>
    <row r="69" spans="3:6" x14ac:dyDescent="0.3">
      <c r="C69" t="s">
        <v>348</v>
      </c>
      <c r="D69" s="95">
        <v>0.05</v>
      </c>
    </row>
    <row r="71" spans="3:6" x14ac:dyDescent="0.3">
      <c r="C71" t="s">
        <v>347</v>
      </c>
    </row>
    <row r="72" spans="3:6" x14ac:dyDescent="0.3">
      <c r="C72" t="s">
        <v>42</v>
      </c>
      <c r="D72" t="s">
        <v>346</v>
      </c>
      <c r="E72" t="s">
        <v>345</v>
      </c>
      <c r="F72" t="s">
        <v>344</v>
      </c>
    </row>
    <row r="73" spans="3:6" x14ac:dyDescent="0.3">
      <c r="C73" t="s">
        <v>40</v>
      </c>
      <c r="D73" s="93">
        <v>4500</v>
      </c>
      <c r="E73" s="108">
        <v>85</v>
      </c>
      <c r="F73" s="108">
        <v>120</v>
      </c>
    </row>
    <row r="74" spans="3:6" x14ac:dyDescent="0.3">
      <c r="C74" t="s">
        <v>39</v>
      </c>
      <c r="D74" s="93">
        <v>1500</v>
      </c>
      <c r="E74" s="108">
        <v>250</v>
      </c>
      <c r="F74" s="108">
        <v>350</v>
      </c>
    </row>
    <row r="75" spans="3:6" x14ac:dyDescent="0.3">
      <c r="C75" t="s">
        <v>38</v>
      </c>
      <c r="D75" s="93">
        <v>500</v>
      </c>
      <c r="E75" s="108">
        <v>2500</v>
      </c>
      <c r="F75" s="108">
        <v>3000</v>
      </c>
    </row>
  </sheetData>
  <mergeCells count="3">
    <mergeCell ref="C10:F10"/>
    <mergeCell ref="C15:G15"/>
    <mergeCell ref="J15:N15"/>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B34CD-5ED5-47DA-89AA-8579FEF8EF5B}">
  <sheetPr>
    <tabColor theme="9" tint="0.59999389629810485"/>
  </sheetPr>
  <dimension ref="A1:AB75"/>
  <sheetViews>
    <sheetView workbookViewId="0">
      <selection activeCell="I48" sqref="I48"/>
    </sheetView>
  </sheetViews>
  <sheetFormatPr defaultRowHeight="14.4" x14ac:dyDescent="0.3"/>
  <cols>
    <col min="3" max="3" width="25.33203125" customWidth="1"/>
    <col min="4" max="5" width="13.88671875" customWidth="1"/>
    <col min="12" max="13" width="10.6640625" customWidth="1"/>
    <col min="20" max="20" width="11.33203125" customWidth="1"/>
  </cols>
  <sheetData>
    <row r="1" spans="1:14" ht="15" thickBot="1" x14ac:dyDescent="0.35">
      <c r="A1" t="s">
        <v>380</v>
      </c>
      <c r="G1" s="11" t="s">
        <v>13</v>
      </c>
      <c r="H1" s="10"/>
    </row>
    <row r="2" spans="1:14" x14ac:dyDescent="0.3">
      <c r="G2" s="9" t="s">
        <v>12</v>
      </c>
      <c r="H2" s="9"/>
    </row>
    <row r="3" spans="1:14" ht="15" thickBot="1" x14ac:dyDescent="0.35">
      <c r="G3" s="8" t="s">
        <v>11</v>
      </c>
      <c r="H3" s="8"/>
    </row>
    <row r="4" spans="1:14" ht="15.6" thickTop="1" thickBot="1" x14ac:dyDescent="0.35">
      <c r="G4" s="7" t="s">
        <v>10</v>
      </c>
      <c r="H4" s="7"/>
    </row>
    <row r="5" spans="1:14" ht="15" thickTop="1" x14ac:dyDescent="0.3">
      <c r="G5" s="6" t="s">
        <v>9</v>
      </c>
      <c r="H5" s="5"/>
    </row>
    <row r="9" spans="1:14" ht="15" thickBot="1" x14ac:dyDescent="0.35"/>
    <row r="10" spans="1:14" ht="15" thickBot="1" x14ac:dyDescent="0.35">
      <c r="C10" s="375" t="s">
        <v>8</v>
      </c>
      <c r="D10" s="376"/>
      <c r="E10" s="376"/>
      <c r="F10" s="377"/>
    </row>
    <row r="12" spans="1:14" x14ac:dyDescent="0.3">
      <c r="D12" t="s">
        <v>379</v>
      </c>
    </row>
    <row r="13" spans="1:14" x14ac:dyDescent="0.3">
      <c r="D13" t="s">
        <v>378</v>
      </c>
    </row>
    <row r="14" spans="1:14" ht="15" thickBot="1" x14ac:dyDescent="0.35"/>
    <row r="15" spans="1:14" ht="15" thickBot="1" x14ac:dyDescent="0.35">
      <c r="C15" s="375" t="s">
        <v>4</v>
      </c>
      <c r="D15" s="376"/>
      <c r="E15" s="376"/>
      <c r="F15" s="376"/>
      <c r="G15" s="377"/>
      <c r="J15" s="375" t="s">
        <v>3</v>
      </c>
      <c r="K15" s="376"/>
      <c r="L15" s="376"/>
      <c r="M15" s="376"/>
      <c r="N15" s="377"/>
    </row>
    <row r="16" spans="1:14" x14ac:dyDescent="0.3">
      <c r="A16" t="s">
        <v>27</v>
      </c>
    </row>
    <row r="17" spans="3:17" x14ac:dyDescent="0.3">
      <c r="C17" t="s">
        <v>377</v>
      </c>
      <c r="D17" s="14" t="s">
        <v>213</v>
      </c>
      <c r="E17" s="14" t="s">
        <v>289</v>
      </c>
      <c r="J17" t="s">
        <v>370</v>
      </c>
    </row>
    <row r="18" spans="3:17" x14ac:dyDescent="0.3">
      <c r="C18" t="s">
        <v>340</v>
      </c>
      <c r="D18" s="14"/>
      <c r="E18" s="14"/>
      <c r="J18" s="26" t="s">
        <v>326</v>
      </c>
      <c r="K18" s="26" t="s">
        <v>325</v>
      </c>
      <c r="L18" s="26" t="s">
        <v>324</v>
      </c>
      <c r="M18" s="26" t="s">
        <v>52</v>
      </c>
      <c r="N18" s="26" t="s">
        <v>369</v>
      </c>
      <c r="O18" s="26" t="s">
        <v>322</v>
      </c>
      <c r="P18" s="26" t="s">
        <v>372</v>
      </c>
      <c r="Q18" s="26" t="s">
        <v>652</v>
      </c>
    </row>
    <row r="19" spans="3:17" x14ac:dyDescent="0.3">
      <c r="C19" t="s">
        <v>339</v>
      </c>
      <c r="D19" s="14"/>
      <c r="E19" s="14"/>
      <c r="J19" t="s">
        <v>358</v>
      </c>
      <c r="K19" t="s">
        <v>368</v>
      </c>
      <c r="L19" t="s">
        <v>292</v>
      </c>
      <c r="M19" t="s">
        <v>359</v>
      </c>
      <c r="N19" t="s">
        <v>40</v>
      </c>
      <c r="O19" s="109">
        <f t="shared" ref="O19:O29" si="0">H47</f>
        <v>80</v>
      </c>
      <c r="P19">
        <f>$E$38</f>
        <v>0.35</v>
      </c>
      <c r="Q19" s="109">
        <f t="shared" ref="Q19:Q29" si="1">O19*(1-P19)</f>
        <v>52</v>
      </c>
    </row>
    <row r="20" spans="3:17" x14ac:dyDescent="0.3">
      <c r="C20" t="s">
        <v>337</v>
      </c>
      <c r="D20" s="14" t="s">
        <v>332</v>
      </c>
      <c r="E20" s="14" t="s">
        <v>332</v>
      </c>
      <c r="J20" t="s">
        <v>358</v>
      </c>
      <c r="K20" t="s">
        <v>367</v>
      </c>
      <c r="L20" t="s">
        <v>292</v>
      </c>
      <c r="M20" t="s">
        <v>359</v>
      </c>
      <c r="N20" t="s">
        <v>39</v>
      </c>
      <c r="O20" s="109">
        <f t="shared" si="0"/>
        <v>600</v>
      </c>
      <c r="P20">
        <f>$E$38</f>
        <v>0.35</v>
      </c>
      <c r="Q20" s="109">
        <f t="shared" si="1"/>
        <v>390</v>
      </c>
    </row>
    <row r="21" spans="3:17" x14ac:dyDescent="0.3">
      <c r="C21" t="s">
        <v>336</v>
      </c>
      <c r="D21" s="108">
        <v>50</v>
      </c>
      <c r="E21" s="14" t="s">
        <v>332</v>
      </c>
      <c r="J21" t="s">
        <v>358</v>
      </c>
      <c r="K21" t="s">
        <v>366</v>
      </c>
      <c r="L21" t="s">
        <v>292</v>
      </c>
      <c r="M21" t="s">
        <v>48</v>
      </c>
      <c r="N21" t="s">
        <v>40</v>
      </c>
      <c r="O21" s="109">
        <f t="shared" si="0"/>
        <v>50</v>
      </c>
      <c r="P21">
        <f>$E$39</f>
        <v>0.2</v>
      </c>
      <c r="Q21" s="109">
        <f t="shared" si="1"/>
        <v>40</v>
      </c>
    </row>
    <row r="22" spans="3:17" x14ac:dyDescent="0.3">
      <c r="C22" t="s">
        <v>338</v>
      </c>
      <c r="D22" s="14"/>
      <c r="E22" s="14"/>
      <c r="J22" t="s">
        <v>361</v>
      </c>
      <c r="K22" t="s">
        <v>365</v>
      </c>
      <c r="L22" t="s">
        <v>292</v>
      </c>
      <c r="M22" t="s">
        <v>359</v>
      </c>
      <c r="N22" t="s">
        <v>40</v>
      </c>
      <c r="O22" s="109">
        <f t="shared" si="0"/>
        <v>80</v>
      </c>
      <c r="P22">
        <f>$E$38</f>
        <v>0.35</v>
      </c>
      <c r="Q22" s="109">
        <f t="shared" si="1"/>
        <v>52</v>
      </c>
    </row>
    <row r="23" spans="3:17" x14ac:dyDescent="0.3">
      <c r="C23" t="s">
        <v>337</v>
      </c>
      <c r="D23" s="108">
        <v>20</v>
      </c>
      <c r="E23" s="14" t="s">
        <v>147</v>
      </c>
      <c r="J23" t="s">
        <v>361</v>
      </c>
      <c r="K23" t="s">
        <v>365</v>
      </c>
      <c r="L23" t="s">
        <v>292</v>
      </c>
      <c r="M23" t="s">
        <v>359</v>
      </c>
      <c r="N23" t="s">
        <v>40</v>
      </c>
      <c r="O23" s="109">
        <f t="shared" si="0"/>
        <v>50</v>
      </c>
      <c r="P23">
        <f>$E$38</f>
        <v>0.35</v>
      </c>
      <c r="Q23" s="109">
        <f t="shared" si="1"/>
        <v>32.5</v>
      </c>
    </row>
    <row r="24" spans="3:17" x14ac:dyDescent="0.3">
      <c r="C24" t="s">
        <v>336</v>
      </c>
      <c r="D24" s="108">
        <v>75</v>
      </c>
      <c r="E24" s="14" t="s">
        <v>147</v>
      </c>
      <c r="J24" t="s">
        <v>358</v>
      </c>
      <c r="K24" t="s">
        <v>364</v>
      </c>
      <c r="L24" t="s">
        <v>356</v>
      </c>
      <c r="M24" t="s">
        <v>46</v>
      </c>
      <c r="N24" t="s">
        <v>38</v>
      </c>
      <c r="O24" s="109">
        <f t="shared" si="0"/>
        <v>1500</v>
      </c>
      <c r="P24">
        <f>$E$40</f>
        <v>0.05</v>
      </c>
      <c r="Q24" s="109">
        <f t="shared" si="1"/>
        <v>1425</v>
      </c>
    </row>
    <row r="25" spans="3:17" x14ac:dyDescent="0.3">
      <c r="C25" t="s">
        <v>335</v>
      </c>
      <c r="D25" s="108">
        <v>1500</v>
      </c>
      <c r="E25" s="14" t="s">
        <v>332</v>
      </c>
      <c r="J25" t="s">
        <v>361</v>
      </c>
      <c r="K25" t="s">
        <v>363</v>
      </c>
      <c r="L25" t="s">
        <v>292</v>
      </c>
      <c r="M25" t="s">
        <v>359</v>
      </c>
      <c r="N25" t="s">
        <v>39</v>
      </c>
      <c r="O25" s="109">
        <f t="shared" si="0"/>
        <v>150</v>
      </c>
      <c r="P25">
        <f>$E$38</f>
        <v>0.35</v>
      </c>
      <c r="Q25" s="109">
        <f t="shared" si="1"/>
        <v>97.5</v>
      </c>
    </row>
    <row r="26" spans="3:17" x14ac:dyDescent="0.3">
      <c r="C26" t="s">
        <v>334</v>
      </c>
      <c r="D26" s="14"/>
      <c r="E26" s="14"/>
      <c r="J26" t="s">
        <v>361</v>
      </c>
      <c r="K26" t="s">
        <v>363</v>
      </c>
      <c r="L26" t="s">
        <v>292</v>
      </c>
      <c r="M26" t="s">
        <v>359</v>
      </c>
      <c r="N26" t="s">
        <v>39</v>
      </c>
      <c r="O26" s="109">
        <f t="shared" si="0"/>
        <v>300</v>
      </c>
      <c r="P26">
        <f>$E$38</f>
        <v>0.35</v>
      </c>
      <c r="Q26" s="109">
        <f t="shared" si="1"/>
        <v>195</v>
      </c>
    </row>
    <row r="27" spans="3:17" x14ac:dyDescent="0.3">
      <c r="C27" t="s">
        <v>333</v>
      </c>
      <c r="D27" s="14" t="s">
        <v>332</v>
      </c>
      <c r="E27" s="14" t="s">
        <v>332</v>
      </c>
      <c r="J27" t="s">
        <v>361</v>
      </c>
      <c r="K27" t="s">
        <v>362</v>
      </c>
      <c r="L27" t="s">
        <v>292</v>
      </c>
      <c r="M27" t="s">
        <v>48</v>
      </c>
      <c r="N27" t="s">
        <v>38</v>
      </c>
      <c r="O27" s="109">
        <f t="shared" si="0"/>
        <v>1100</v>
      </c>
      <c r="P27">
        <f>$E$39</f>
        <v>0.2</v>
      </c>
      <c r="Q27" s="109">
        <f t="shared" si="1"/>
        <v>880</v>
      </c>
    </row>
    <row r="28" spans="3:17" x14ac:dyDescent="0.3">
      <c r="C28" t="s">
        <v>331</v>
      </c>
      <c r="D28" s="14" t="s">
        <v>330</v>
      </c>
      <c r="E28" s="14" t="s">
        <v>332</v>
      </c>
      <c r="J28" t="s">
        <v>361</v>
      </c>
      <c r="K28" t="s">
        <v>360</v>
      </c>
      <c r="L28" t="s">
        <v>292</v>
      </c>
      <c r="M28" t="s">
        <v>359</v>
      </c>
      <c r="N28" t="s">
        <v>38</v>
      </c>
      <c r="O28" s="109">
        <f t="shared" si="0"/>
        <v>2500</v>
      </c>
      <c r="P28">
        <f>$E$38</f>
        <v>0.35</v>
      </c>
      <c r="Q28" s="109">
        <f t="shared" si="1"/>
        <v>1625</v>
      </c>
    </row>
    <row r="29" spans="3:17" x14ac:dyDescent="0.3">
      <c r="J29" t="s">
        <v>358</v>
      </c>
      <c r="K29" t="s">
        <v>357</v>
      </c>
      <c r="L29" t="s">
        <v>356</v>
      </c>
      <c r="M29" t="s">
        <v>46</v>
      </c>
      <c r="N29" t="s">
        <v>39</v>
      </c>
      <c r="O29" s="109">
        <f t="shared" si="0"/>
        <v>750</v>
      </c>
      <c r="P29">
        <f>$E$40</f>
        <v>0.05</v>
      </c>
      <c r="Q29" s="109">
        <f t="shared" si="1"/>
        <v>712.5</v>
      </c>
    </row>
    <row r="30" spans="3:17" x14ac:dyDescent="0.3">
      <c r="C30" t="s">
        <v>376</v>
      </c>
    </row>
    <row r="31" spans="3:17" x14ac:dyDescent="0.3">
      <c r="C31" t="s">
        <v>42</v>
      </c>
      <c r="D31" t="s">
        <v>375</v>
      </c>
      <c r="E31" t="s">
        <v>374</v>
      </c>
      <c r="F31" t="s">
        <v>289</v>
      </c>
    </row>
    <row r="32" spans="3:17" x14ac:dyDescent="0.3">
      <c r="C32" t="s">
        <v>40</v>
      </c>
      <c r="D32" s="95">
        <v>0</v>
      </c>
      <c r="E32" s="95">
        <v>0.2</v>
      </c>
      <c r="F32" s="95">
        <v>0</v>
      </c>
      <c r="J32" t="s">
        <v>814</v>
      </c>
      <c r="K32" t="s">
        <v>809</v>
      </c>
    </row>
    <row r="33" spans="3:24" x14ac:dyDescent="0.3">
      <c r="C33" t="s">
        <v>39</v>
      </c>
      <c r="D33" s="95">
        <v>0.1</v>
      </c>
      <c r="E33" s="95">
        <v>0.4</v>
      </c>
      <c r="F33" s="95">
        <v>0.05</v>
      </c>
      <c r="J33" s="182" t="s">
        <v>813</v>
      </c>
      <c r="T33" t="s">
        <v>807</v>
      </c>
    </row>
    <row r="34" spans="3:24" x14ac:dyDescent="0.3">
      <c r="C34" t="s">
        <v>38</v>
      </c>
      <c r="D34" s="95">
        <v>0.4</v>
      </c>
      <c r="E34" s="95">
        <v>0.7</v>
      </c>
      <c r="F34" s="95">
        <v>0.2</v>
      </c>
      <c r="J34" s="26" t="s">
        <v>326</v>
      </c>
      <c r="K34" s="26" t="s">
        <v>325</v>
      </c>
      <c r="L34" s="26" t="s">
        <v>324</v>
      </c>
      <c r="M34" s="26" t="s">
        <v>52</v>
      </c>
      <c r="N34" s="26" t="s">
        <v>369</v>
      </c>
      <c r="O34" s="26" t="s">
        <v>322</v>
      </c>
      <c r="P34" s="26" t="s">
        <v>372</v>
      </c>
      <c r="Q34" s="26" t="s">
        <v>652</v>
      </c>
      <c r="R34" s="26" t="s">
        <v>806</v>
      </c>
      <c r="S34" s="26" t="s">
        <v>805</v>
      </c>
      <c r="T34" s="26" t="s">
        <v>762</v>
      </c>
      <c r="U34" s="26" t="s">
        <v>804</v>
      </c>
    </row>
    <row r="35" spans="3:24" x14ac:dyDescent="0.3">
      <c r="J35" t="s">
        <v>361</v>
      </c>
      <c r="K35" t="s">
        <v>365</v>
      </c>
      <c r="L35" t="s">
        <v>292</v>
      </c>
      <c r="M35" t="s">
        <v>359</v>
      </c>
      <c r="N35" t="s">
        <v>40</v>
      </c>
      <c r="O35" s="109">
        <v>80</v>
      </c>
      <c r="P35" s="55">
        <v>0.35</v>
      </c>
      <c r="Q35" s="109">
        <v>52</v>
      </c>
      <c r="R35" s="109">
        <v>0</v>
      </c>
      <c r="S35" s="55">
        <f>$D$32</f>
        <v>0</v>
      </c>
      <c r="T35" s="109">
        <v>0</v>
      </c>
      <c r="U35" s="109">
        <f t="shared" ref="U35:U40" si="2">Q35-T35</f>
        <v>52</v>
      </c>
    </row>
    <row r="36" spans="3:24" x14ac:dyDescent="0.3">
      <c r="C36" t="s">
        <v>373</v>
      </c>
      <c r="J36" t="s">
        <v>361</v>
      </c>
      <c r="K36" t="s">
        <v>365</v>
      </c>
      <c r="L36" t="s">
        <v>292</v>
      </c>
      <c r="M36" t="s">
        <v>359</v>
      </c>
      <c r="N36" t="s">
        <v>40</v>
      </c>
      <c r="O36" s="109">
        <v>50</v>
      </c>
      <c r="P36" s="55">
        <v>0.35</v>
      </c>
      <c r="Q36" s="109">
        <v>32.5</v>
      </c>
      <c r="R36" s="109">
        <v>0</v>
      </c>
      <c r="S36" s="55">
        <f>$D$32</f>
        <v>0</v>
      </c>
      <c r="T36" s="109">
        <v>0</v>
      </c>
      <c r="U36" s="109">
        <f t="shared" si="2"/>
        <v>32.5</v>
      </c>
    </row>
    <row r="37" spans="3:24" x14ac:dyDescent="0.3">
      <c r="C37" t="s">
        <v>324</v>
      </c>
      <c r="D37" t="s">
        <v>52</v>
      </c>
      <c r="E37" t="s">
        <v>372</v>
      </c>
      <c r="F37" t="s">
        <v>371</v>
      </c>
      <c r="J37" t="s">
        <v>361</v>
      </c>
      <c r="K37" t="s">
        <v>363</v>
      </c>
      <c r="L37" t="s">
        <v>292</v>
      </c>
      <c r="M37" t="s">
        <v>359</v>
      </c>
      <c r="N37" t="s">
        <v>39</v>
      </c>
      <c r="O37" s="109">
        <v>150</v>
      </c>
      <c r="P37" s="55">
        <v>0.35</v>
      </c>
      <c r="Q37" s="109">
        <v>97.5</v>
      </c>
      <c r="R37" s="109">
        <f>$D$21</f>
        <v>50</v>
      </c>
      <c r="S37" s="55">
        <f>$D$33</f>
        <v>0.1</v>
      </c>
      <c r="T37" s="109">
        <f>R37+(Q37-R37)*S37</f>
        <v>54.75</v>
      </c>
      <c r="U37" s="109">
        <f t="shared" si="2"/>
        <v>42.75</v>
      </c>
      <c r="V37" s="9" t="s">
        <v>803</v>
      </c>
      <c r="W37" s="9"/>
      <c r="X37" s="9"/>
    </row>
    <row r="38" spans="3:24" x14ac:dyDescent="0.3">
      <c r="C38" t="s">
        <v>292</v>
      </c>
      <c r="D38" t="s">
        <v>359</v>
      </c>
      <c r="E38" s="95">
        <v>0.35</v>
      </c>
      <c r="F38" s="95">
        <v>0.45</v>
      </c>
      <c r="J38" t="s">
        <v>361</v>
      </c>
      <c r="K38" t="s">
        <v>363</v>
      </c>
      <c r="L38" t="s">
        <v>292</v>
      </c>
      <c r="M38" t="s">
        <v>359</v>
      </c>
      <c r="N38" t="s">
        <v>39</v>
      </c>
      <c r="O38" s="109">
        <v>300</v>
      </c>
      <c r="P38" s="55">
        <v>0.35</v>
      </c>
      <c r="Q38" s="109">
        <v>195</v>
      </c>
      <c r="R38" s="109">
        <f>$D$21</f>
        <v>50</v>
      </c>
      <c r="S38" s="55">
        <f>$D$33</f>
        <v>0.1</v>
      </c>
      <c r="T38" s="109">
        <f>Q38*S38</f>
        <v>19.5</v>
      </c>
      <c r="U38" s="109">
        <f t="shared" si="2"/>
        <v>175.5</v>
      </c>
    </row>
    <row r="39" spans="3:24" x14ac:dyDescent="0.3">
      <c r="C39" t="s">
        <v>292</v>
      </c>
      <c r="D39" t="s">
        <v>48</v>
      </c>
      <c r="E39" s="95">
        <v>0.2</v>
      </c>
      <c r="F39" s="95">
        <v>0.25</v>
      </c>
      <c r="J39" t="s">
        <v>361</v>
      </c>
      <c r="K39" t="s">
        <v>362</v>
      </c>
      <c r="L39" t="s">
        <v>292</v>
      </c>
      <c r="M39" t="s">
        <v>48</v>
      </c>
      <c r="N39" t="s">
        <v>38</v>
      </c>
      <c r="O39" s="109">
        <v>1100</v>
      </c>
      <c r="P39" s="55">
        <v>0.2</v>
      </c>
      <c r="Q39" s="109">
        <v>880</v>
      </c>
      <c r="R39" s="109">
        <f>$D$21</f>
        <v>50</v>
      </c>
      <c r="S39" s="55">
        <f>$D$34</f>
        <v>0.4</v>
      </c>
      <c r="T39" s="109">
        <f>Q39*S39</f>
        <v>352</v>
      </c>
      <c r="U39" s="109">
        <f t="shared" si="2"/>
        <v>528</v>
      </c>
    </row>
    <row r="40" spans="3:24" x14ac:dyDescent="0.3">
      <c r="C40" t="s">
        <v>356</v>
      </c>
      <c r="D40" t="s">
        <v>46</v>
      </c>
      <c r="E40" s="95">
        <v>0.05</v>
      </c>
      <c r="F40" t="s">
        <v>46</v>
      </c>
      <c r="J40" s="26" t="s">
        <v>361</v>
      </c>
      <c r="K40" s="26" t="s">
        <v>360</v>
      </c>
      <c r="L40" s="26" t="s">
        <v>292</v>
      </c>
      <c r="M40" s="26" t="s">
        <v>359</v>
      </c>
      <c r="N40" s="26" t="s">
        <v>38</v>
      </c>
      <c r="O40" s="181">
        <v>2500</v>
      </c>
      <c r="P40" s="102">
        <v>0.35</v>
      </c>
      <c r="Q40" s="181">
        <v>1625</v>
      </c>
      <c r="R40" s="181">
        <f>$D$21</f>
        <v>50</v>
      </c>
      <c r="S40" s="102">
        <f>$D$34</f>
        <v>0.4</v>
      </c>
      <c r="T40" s="181">
        <f>Q40*S40</f>
        <v>650</v>
      </c>
      <c r="U40" s="181">
        <f t="shared" si="2"/>
        <v>975</v>
      </c>
    </row>
    <row r="41" spans="3:24" x14ac:dyDescent="0.3">
      <c r="Q41" s="109">
        <f>SUM(Q35:Q40)</f>
        <v>2882</v>
      </c>
      <c r="T41" s="109">
        <f>SUM(T35:T40)</f>
        <v>1076.25</v>
      </c>
      <c r="U41" s="109">
        <f>SUM(U35:U40)</f>
        <v>1805.75</v>
      </c>
    </row>
    <row r="43" spans="3:24" x14ac:dyDescent="0.3">
      <c r="T43" t="s">
        <v>812</v>
      </c>
    </row>
    <row r="44" spans="3:24" x14ac:dyDescent="0.3">
      <c r="T44" s="14" t="s">
        <v>326</v>
      </c>
      <c r="U44" s="14" t="s">
        <v>284</v>
      </c>
    </row>
    <row r="45" spans="3:24" x14ac:dyDescent="0.3">
      <c r="C45" t="s">
        <v>370</v>
      </c>
      <c r="T45" s="5">
        <f>Q41-U45</f>
        <v>1382</v>
      </c>
      <c r="U45" s="5">
        <f>D25</f>
        <v>1500</v>
      </c>
      <c r="V45" s="9" t="s">
        <v>811</v>
      </c>
      <c r="W45" s="9"/>
      <c r="X45" s="9"/>
    </row>
    <row r="46" spans="3:24" x14ac:dyDescent="0.3">
      <c r="C46" t="s">
        <v>326</v>
      </c>
      <c r="D46" t="s">
        <v>325</v>
      </c>
      <c r="E46" t="s">
        <v>324</v>
      </c>
      <c r="F46" t="s">
        <v>52</v>
      </c>
      <c r="G46" t="s">
        <v>369</v>
      </c>
      <c r="H46" t="s">
        <v>322</v>
      </c>
      <c r="J46" t="s">
        <v>810</v>
      </c>
      <c r="K46" t="s">
        <v>809</v>
      </c>
    </row>
    <row r="47" spans="3:24" x14ac:dyDescent="0.3">
      <c r="C47" t="s">
        <v>358</v>
      </c>
      <c r="D47" t="s">
        <v>368</v>
      </c>
      <c r="E47" t="s">
        <v>292</v>
      </c>
      <c r="F47" t="s">
        <v>359</v>
      </c>
      <c r="G47" t="s">
        <v>40</v>
      </c>
      <c r="H47" s="88">
        <v>80</v>
      </c>
      <c r="J47" s="182" t="s">
        <v>808</v>
      </c>
      <c r="T47" t="s">
        <v>807</v>
      </c>
    </row>
    <row r="48" spans="3:24" x14ac:dyDescent="0.3">
      <c r="C48" t="s">
        <v>358</v>
      </c>
      <c r="D48" t="s">
        <v>367</v>
      </c>
      <c r="E48" t="s">
        <v>292</v>
      </c>
      <c r="F48" t="s">
        <v>359</v>
      </c>
      <c r="G48" t="s">
        <v>39</v>
      </c>
      <c r="H48" s="88">
        <v>600</v>
      </c>
      <c r="J48" s="26" t="s">
        <v>326</v>
      </c>
      <c r="K48" s="26" t="s">
        <v>325</v>
      </c>
      <c r="L48" s="26" t="s">
        <v>324</v>
      </c>
      <c r="M48" s="26" t="s">
        <v>52</v>
      </c>
      <c r="N48" s="26" t="s">
        <v>369</v>
      </c>
      <c r="O48" s="26" t="s">
        <v>322</v>
      </c>
      <c r="P48" s="26" t="s">
        <v>372</v>
      </c>
      <c r="Q48" s="26" t="s">
        <v>652</v>
      </c>
      <c r="R48" s="26" t="s">
        <v>806</v>
      </c>
      <c r="S48" s="26" t="s">
        <v>805</v>
      </c>
      <c r="T48" s="26" t="s">
        <v>762</v>
      </c>
      <c r="U48" s="26" t="s">
        <v>804</v>
      </c>
    </row>
    <row r="49" spans="1:28" x14ac:dyDescent="0.3">
      <c r="C49" t="s">
        <v>358</v>
      </c>
      <c r="D49" t="s">
        <v>366</v>
      </c>
      <c r="E49" t="s">
        <v>292</v>
      </c>
      <c r="F49" t="s">
        <v>48</v>
      </c>
      <c r="G49" t="s">
        <v>40</v>
      </c>
      <c r="H49" s="88">
        <v>50</v>
      </c>
      <c r="J49" t="s">
        <v>358</v>
      </c>
      <c r="K49" t="s">
        <v>368</v>
      </c>
      <c r="L49" t="s">
        <v>292</v>
      </c>
      <c r="M49" t="s">
        <v>359</v>
      </c>
      <c r="N49" t="s">
        <v>40</v>
      </c>
      <c r="O49" s="109">
        <v>80</v>
      </c>
      <c r="P49" s="55">
        <v>0.35</v>
      </c>
      <c r="Q49" s="109">
        <v>52</v>
      </c>
      <c r="R49" s="109">
        <v>0</v>
      </c>
      <c r="S49" s="55">
        <f>D32</f>
        <v>0</v>
      </c>
      <c r="T49" s="109">
        <v>0</v>
      </c>
      <c r="U49" s="109">
        <f>Q49-T49</f>
        <v>52</v>
      </c>
    </row>
    <row r="50" spans="1:28" x14ac:dyDescent="0.3">
      <c r="C50" t="s">
        <v>361</v>
      </c>
      <c r="D50" t="s">
        <v>365</v>
      </c>
      <c r="E50" t="s">
        <v>292</v>
      </c>
      <c r="F50" t="s">
        <v>359</v>
      </c>
      <c r="G50" t="s">
        <v>40</v>
      </c>
      <c r="H50" s="88">
        <v>80</v>
      </c>
      <c r="J50" t="s">
        <v>358</v>
      </c>
      <c r="K50" t="s">
        <v>367</v>
      </c>
      <c r="L50" t="s">
        <v>292</v>
      </c>
      <c r="M50" t="s">
        <v>359</v>
      </c>
      <c r="N50" t="s">
        <v>39</v>
      </c>
      <c r="O50" s="109">
        <v>600</v>
      </c>
      <c r="P50" s="55">
        <v>0.35</v>
      </c>
      <c r="Q50" s="109">
        <v>390</v>
      </c>
      <c r="R50" s="109">
        <f>$D$21</f>
        <v>50</v>
      </c>
      <c r="S50" s="55">
        <f>D33</f>
        <v>0.1</v>
      </c>
      <c r="T50" s="109">
        <f>R50+(Q50-R50)*S50</f>
        <v>84</v>
      </c>
      <c r="U50" s="109">
        <f>Q50-T50</f>
        <v>306</v>
      </c>
      <c r="V50" s="9" t="s">
        <v>803</v>
      </c>
      <c r="W50" s="9"/>
      <c r="X50" s="9"/>
    </row>
    <row r="51" spans="1:28" x14ac:dyDescent="0.3">
      <c r="C51" t="s">
        <v>361</v>
      </c>
      <c r="D51" t="s">
        <v>365</v>
      </c>
      <c r="E51" t="s">
        <v>292</v>
      </c>
      <c r="F51" t="s">
        <v>359</v>
      </c>
      <c r="G51" t="s">
        <v>40</v>
      </c>
      <c r="H51" s="88">
        <v>50</v>
      </c>
      <c r="J51" t="s">
        <v>358</v>
      </c>
      <c r="K51" t="s">
        <v>366</v>
      </c>
      <c r="L51" t="s">
        <v>292</v>
      </c>
      <c r="M51" t="s">
        <v>48</v>
      </c>
      <c r="N51" t="s">
        <v>40</v>
      </c>
      <c r="O51" s="109">
        <v>50</v>
      </c>
      <c r="P51" s="55">
        <v>0.2</v>
      </c>
      <c r="Q51" s="109">
        <v>40</v>
      </c>
      <c r="R51" s="109">
        <f>$D$21</f>
        <v>50</v>
      </c>
      <c r="S51" s="55">
        <f>D32</f>
        <v>0</v>
      </c>
      <c r="T51" s="109">
        <f>Q51*S51</f>
        <v>0</v>
      </c>
      <c r="U51" s="109">
        <f>Q51-T51</f>
        <v>40</v>
      </c>
    </row>
    <row r="52" spans="1:28" x14ac:dyDescent="0.3">
      <c r="C52" t="s">
        <v>358</v>
      </c>
      <c r="D52" t="s">
        <v>364</v>
      </c>
      <c r="E52" t="s">
        <v>356</v>
      </c>
      <c r="F52" t="s">
        <v>46</v>
      </c>
      <c r="G52" t="s">
        <v>38</v>
      </c>
      <c r="H52" s="88">
        <v>1500</v>
      </c>
      <c r="J52" t="s">
        <v>358</v>
      </c>
      <c r="K52" t="s">
        <v>364</v>
      </c>
      <c r="L52" t="s">
        <v>356</v>
      </c>
      <c r="M52" t="s">
        <v>46</v>
      </c>
      <c r="N52" t="s">
        <v>38</v>
      </c>
      <c r="O52" s="109">
        <v>1500</v>
      </c>
      <c r="P52" s="55">
        <v>0.05</v>
      </c>
      <c r="Q52" s="109">
        <v>1425</v>
      </c>
      <c r="R52" s="109" t="s">
        <v>802</v>
      </c>
      <c r="S52" s="55" t="s">
        <v>802</v>
      </c>
      <c r="T52" s="109">
        <f>Q52</f>
        <v>1425</v>
      </c>
      <c r="U52" s="109">
        <f>Q52-T52</f>
        <v>0</v>
      </c>
      <c r="V52" s="9" t="s">
        <v>801</v>
      </c>
      <c r="W52" s="9"/>
      <c r="X52" s="9"/>
      <c r="Y52" s="9"/>
      <c r="Z52" s="9"/>
      <c r="AA52" s="9"/>
      <c r="AB52" s="9"/>
    </row>
    <row r="53" spans="1:28" x14ac:dyDescent="0.3">
      <c r="C53" t="s">
        <v>361</v>
      </c>
      <c r="D53" t="s">
        <v>363</v>
      </c>
      <c r="E53" t="s">
        <v>292</v>
      </c>
      <c r="F53" t="s">
        <v>359</v>
      </c>
      <c r="G53" t="s">
        <v>39</v>
      </c>
      <c r="H53" s="88">
        <v>150</v>
      </c>
      <c r="J53" s="26" t="s">
        <v>358</v>
      </c>
      <c r="K53" s="26" t="s">
        <v>357</v>
      </c>
      <c r="L53" s="26" t="s">
        <v>356</v>
      </c>
      <c r="M53" s="26" t="s">
        <v>46</v>
      </c>
      <c r="N53" s="26" t="s">
        <v>39</v>
      </c>
      <c r="O53" s="181">
        <v>750</v>
      </c>
      <c r="P53" s="102">
        <v>0.05</v>
      </c>
      <c r="Q53" s="181">
        <v>712.5</v>
      </c>
      <c r="R53" s="181">
        <f>$D$24</f>
        <v>75</v>
      </c>
      <c r="S53" s="102">
        <f>E33</f>
        <v>0.4</v>
      </c>
      <c r="T53" s="181">
        <f>R53+(Q53-R53)*S53</f>
        <v>330</v>
      </c>
      <c r="U53" s="181">
        <f>Q53-T53</f>
        <v>382.5</v>
      </c>
      <c r="V53" s="9" t="s">
        <v>800</v>
      </c>
      <c r="W53" s="9"/>
      <c r="X53" s="9"/>
      <c r="Y53" s="9"/>
    </row>
    <row r="54" spans="1:28" x14ac:dyDescent="0.3">
      <c r="C54" t="s">
        <v>361</v>
      </c>
      <c r="D54" t="s">
        <v>363</v>
      </c>
      <c r="E54" t="s">
        <v>292</v>
      </c>
      <c r="F54" t="s">
        <v>359</v>
      </c>
      <c r="G54" t="s">
        <v>39</v>
      </c>
      <c r="H54" s="88">
        <v>300</v>
      </c>
      <c r="Q54" s="109">
        <f>SUM(Q49:Q53)</f>
        <v>2619.5</v>
      </c>
      <c r="T54" s="109">
        <f>SUM(T49:T53)</f>
        <v>1839</v>
      </c>
      <c r="U54" s="109">
        <f>SUM(U49:U53)</f>
        <v>780.5</v>
      </c>
    </row>
    <row r="55" spans="1:28" x14ac:dyDescent="0.3">
      <c r="C55" t="s">
        <v>361</v>
      </c>
      <c r="D55" t="s">
        <v>362</v>
      </c>
      <c r="E55" t="s">
        <v>292</v>
      </c>
      <c r="F55" t="s">
        <v>48</v>
      </c>
      <c r="G55" t="s">
        <v>38</v>
      </c>
      <c r="H55" s="88">
        <v>1100</v>
      </c>
    </row>
    <row r="56" spans="1:28" x14ac:dyDescent="0.3">
      <c r="C56" t="s">
        <v>361</v>
      </c>
      <c r="D56" t="s">
        <v>360</v>
      </c>
      <c r="E56" t="s">
        <v>292</v>
      </c>
      <c r="F56" t="s">
        <v>359</v>
      </c>
      <c r="G56" t="s">
        <v>38</v>
      </c>
      <c r="H56" s="88">
        <v>2500</v>
      </c>
    </row>
    <row r="57" spans="1:28" x14ac:dyDescent="0.3">
      <c r="C57" t="s">
        <v>358</v>
      </c>
      <c r="D57" t="s">
        <v>357</v>
      </c>
      <c r="E57" t="s">
        <v>356</v>
      </c>
      <c r="F57" t="s">
        <v>46</v>
      </c>
      <c r="G57" t="s">
        <v>39</v>
      </c>
      <c r="H57" s="88">
        <v>750</v>
      </c>
      <c r="T57" s="14" t="s">
        <v>326</v>
      </c>
      <c r="U57" s="14" t="s">
        <v>284</v>
      </c>
    </row>
    <row r="58" spans="1:28" x14ac:dyDescent="0.3">
      <c r="T58" s="5">
        <f>Q54-U58</f>
        <v>1839</v>
      </c>
      <c r="U58" s="5">
        <f>U54</f>
        <v>780.5</v>
      </c>
    </row>
    <row r="60" spans="1:28" s="26" customFormat="1" x14ac:dyDescent="0.3">
      <c r="A60" s="26" t="s">
        <v>18</v>
      </c>
    </row>
    <row r="61" spans="1:28" x14ac:dyDescent="0.3">
      <c r="J61" t="s">
        <v>799</v>
      </c>
    </row>
    <row r="62" spans="1:28" x14ac:dyDescent="0.3">
      <c r="C62" t="s">
        <v>355</v>
      </c>
      <c r="L62" t="s">
        <v>359</v>
      </c>
      <c r="M62" t="s">
        <v>48</v>
      </c>
      <c r="N62" t="s">
        <v>359</v>
      </c>
      <c r="O62" t="s">
        <v>48</v>
      </c>
      <c r="P62" t="s">
        <v>359</v>
      </c>
      <c r="Q62" t="s">
        <v>48</v>
      </c>
    </row>
    <row r="63" spans="1:28" x14ac:dyDescent="0.3">
      <c r="C63" t="s">
        <v>354</v>
      </c>
      <c r="D63" s="95">
        <v>0.04</v>
      </c>
      <c r="J63" s="26" t="s">
        <v>42</v>
      </c>
      <c r="K63" s="26" t="s">
        <v>628</v>
      </c>
      <c r="L63" s="26" t="s">
        <v>798</v>
      </c>
      <c r="M63" s="26" t="s">
        <v>798</v>
      </c>
      <c r="N63" s="26" t="s">
        <v>797</v>
      </c>
      <c r="O63" s="26" t="s">
        <v>797</v>
      </c>
      <c r="P63" s="26" t="s">
        <v>796</v>
      </c>
      <c r="Q63" s="26" t="s">
        <v>796</v>
      </c>
    </row>
    <row r="64" spans="1:28" x14ac:dyDescent="0.3">
      <c r="C64" t="s">
        <v>353</v>
      </c>
      <c r="D64" s="95">
        <v>0.06</v>
      </c>
      <c r="J64" s="14" t="s">
        <v>40</v>
      </c>
      <c r="K64" s="93">
        <f>D73*(1+$D$63)^2</f>
        <v>4867.2000000000007</v>
      </c>
      <c r="L64" s="137">
        <f>E73*(1+$D$64)^2</f>
        <v>95.506000000000014</v>
      </c>
      <c r="M64" s="137">
        <f>F73*(1+$D$65)^2</f>
        <v>139.96800000000002</v>
      </c>
      <c r="N64" s="137">
        <f>L64*(1-$F$38)</f>
        <v>52.528300000000009</v>
      </c>
      <c r="O64" s="137">
        <f>M64*(1-$F$39)</f>
        <v>104.97600000000001</v>
      </c>
      <c r="P64" s="137">
        <f>N64*(1-F32)</f>
        <v>52.528300000000009</v>
      </c>
      <c r="Q64" s="137">
        <f>O64*(1-F32)</f>
        <v>104.97600000000001</v>
      </c>
    </row>
    <row r="65" spans="3:18" x14ac:dyDescent="0.3">
      <c r="C65" t="s">
        <v>352</v>
      </c>
      <c r="D65" s="95">
        <v>0.08</v>
      </c>
      <c r="J65" s="14" t="s">
        <v>39</v>
      </c>
      <c r="K65" s="93">
        <f>D74*(1+$D$63)^2</f>
        <v>1622.4</v>
      </c>
      <c r="L65" s="137">
        <f>E74*(1+$D$64)^2</f>
        <v>280.90000000000003</v>
      </c>
      <c r="M65" s="137">
        <f>F74*(1+$D$65)^2</f>
        <v>408.24</v>
      </c>
      <c r="N65" s="137">
        <f>L65*(1-$F$38)</f>
        <v>154.49500000000003</v>
      </c>
      <c r="O65" s="137">
        <f>M65*(1-$F$39)</f>
        <v>306.18</v>
      </c>
      <c r="P65" s="137">
        <f>N65*(1-F33)</f>
        <v>146.77025000000003</v>
      </c>
      <c r="Q65" s="137">
        <f>O65*(1-F33)</f>
        <v>290.87099999999998</v>
      </c>
    </row>
    <row r="66" spans="3:18" x14ac:dyDescent="0.3">
      <c r="C66" t="s">
        <v>351</v>
      </c>
      <c r="D66" s="95">
        <v>0.8</v>
      </c>
      <c r="J66" s="14" t="s">
        <v>38</v>
      </c>
      <c r="K66" s="93">
        <f>D75*(1+$D$63)^2</f>
        <v>540.80000000000007</v>
      </c>
      <c r="L66" s="137">
        <f>E75*(1+$D$64)^2</f>
        <v>2809.0000000000005</v>
      </c>
      <c r="M66" s="137">
        <f>F75*(1+$D$65)^2</f>
        <v>3499.2000000000003</v>
      </c>
      <c r="N66" s="137">
        <f>L66*(1-$F$38)</f>
        <v>1544.9500000000003</v>
      </c>
      <c r="O66" s="137">
        <f>M66*(1-$F$39)</f>
        <v>2624.4</v>
      </c>
      <c r="P66" s="137">
        <f>N66*(1-F34)</f>
        <v>1235.9600000000003</v>
      </c>
      <c r="Q66" s="137">
        <f>O66*(1-F34)</f>
        <v>2099.52</v>
      </c>
    </row>
    <row r="67" spans="3:18" x14ac:dyDescent="0.3">
      <c r="C67" t="s">
        <v>350</v>
      </c>
      <c r="D67" s="95">
        <v>0.2</v>
      </c>
    </row>
    <row r="68" spans="3:18" x14ac:dyDescent="0.3">
      <c r="C68" t="s">
        <v>349</v>
      </c>
      <c r="D68" s="95">
        <v>0.1</v>
      </c>
    </row>
    <row r="69" spans="3:18" x14ac:dyDescent="0.3">
      <c r="C69" t="s">
        <v>348</v>
      </c>
      <c r="D69" s="95">
        <v>0.05</v>
      </c>
    </row>
    <row r="70" spans="3:18" x14ac:dyDescent="0.3">
      <c r="P70" s="26" t="s">
        <v>776</v>
      </c>
      <c r="Q70" s="26" t="s">
        <v>795</v>
      </c>
    </row>
    <row r="71" spans="3:18" x14ac:dyDescent="0.3">
      <c r="C71" t="s">
        <v>347</v>
      </c>
      <c r="O71" t="s">
        <v>359</v>
      </c>
      <c r="P71" s="137">
        <f>SUMPRODUCT(K64:K66,P64:P66)/12000</f>
        <v>96.849413613333368</v>
      </c>
      <c r="Q71" s="95">
        <f>D66</f>
        <v>0.8</v>
      </c>
    </row>
    <row r="72" spans="3:18" x14ac:dyDescent="0.3">
      <c r="C72" t="s">
        <v>42</v>
      </c>
      <c r="D72" t="s">
        <v>346</v>
      </c>
      <c r="E72" t="s">
        <v>345</v>
      </c>
      <c r="F72" t="s">
        <v>344</v>
      </c>
      <c r="O72" t="s">
        <v>48</v>
      </c>
      <c r="P72" s="137">
        <f>SUMPRODUCT(K64:K66,Q64:Q66)/12000</f>
        <v>176.52239280000003</v>
      </c>
      <c r="Q72" s="95">
        <f>D67</f>
        <v>0.2</v>
      </c>
    </row>
    <row r="73" spans="3:18" x14ac:dyDescent="0.3">
      <c r="C73" t="s">
        <v>40</v>
      </c>
      <c r="D73" s="93">
        <v>4500</v>
      </c>
      <c r="E73" s="108">
        <v>85</v>
      </c>
      <c r="F73" s="108">
        <v>120</v>
      </c>
    </row>
    <row r="74" spans="3:18" x14ac:dyDescent="0.3">
      <c r="C74" t="s">
        <v>39</v>
      </c>
      <c r="D74" s="93">
        <v>1500</v>
      </c>
      <c r="E74" s="108">
        <v>250</v>
      </c>
      <c r="F74" s="108">
        <v>350</v>
      </c>
      <c r="Q74" s="109">
        <f>SUMPRODUCT(P71:P72,Q71:Q72)</f>
        <v>112.7840094506667</v>
      </c>
      <c r="R74" t="s">
        <v>794</v>
      </c>
    </row>
    <row r="75" spans="3:18" x14ac:dyDescent="0.3">
      <c r="C75" t="s">
        <v>38</v>
      </c>
      <c r="D75" s="93">
        <v>500</v>
      </c>
      <c r="E75" s="108">
        <v>2500</v>
      </c>
      <c r="F75" s="108">
        <v>3000</v>
      </c>
      <c r="Q75" s="5">
        <f>Q74/(1-D68-D69)</f>
        <v>132.68706994196083</v>
      </c>
      <c r="R75" t="s">
        <v>793</v>
      </c>
    </row>
  </sheetData>
  <autoFilter ref="J18:Q29" xr:uid="{23D2A1D8-0E43-44FF-96AF-8849096BA992}"/>
  <mergeCells count="3">
    <mergeCell ref="C10:F10"/>
    <mergeCell ref="C15:G15"/>
    <mergeCell ref="J15:N15"/>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65B3D-2472-4DFB-BCE7-8218783B960E}">
  <sheetPr>
    <tabColor theme="5" tint="0.39997558519241921"/>
  </sheetPr>
  <dimension ref="A1:M53"/>
  <sheetViews>
    <sheetView workbookViewId="0">
      <selection activeCell="B5" sqref="B5"/>
    </sheetView>
  </sheetViews>
  <sheetFormatPr defaultRowHeight="14.4" x14ac:dyDescent="0.3"/>
  <cols>
    <col min="3" max="4" width="16.88671875" customWidth="1"/>
    <col min="11" max="12" width="9.88671875" bestFit="1" customWidth="1"/>
  </cols>
  <sheetData>
    <row r="1" spans="1:8" ht="15" thickBot="1" x14ac:dyDescent="0.35">
      <c r="A1" t="s">
        <v>411</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t="s">
        <v>410</v>
      </c>
    </row>
    <row r="13" spans="1:8" x14ac:dyDescent="0.3">
      <c r="C13" t="s">
        <v>409</v>
      </c>
    </row>
    <row r="21" spans="3:13" ht="15" thickBot="1" x14ac:dyDescent="0.35"/>
    <row r="22" spans="3:13" ht="15" thickBot="1" x14ac:dyDescent="0.35">
      <c r="C22" s="375" t="s">
        <v>4</v>
      </c>
      <c r="D22" s="376"/>
      <c r="E22" s="376"/>
      <c r="F22" s="376"/>
      <c r="G22" s="377"/>
      <c r="I22" s="375" t="s">
        <v>3</v>
      </c>
      <c r="J22" s="376"/>
      <c r="K22" s="376"/>
      <c r="L22" s="376"/>
      <c r="M22" s="377"/>
    </row>
    <row r="24" spans="3:13" x14ac:dyDescent="0.3">
      <c r="C24" t="s">
        <v>408</v>
      </c>
    </row>
    <row r="25" spans="3:13" x14ac:dyDescent="0.3">
      <c r="C25" t="s">
        <v>407</v>
      </c>
      <c r="D25">
        <v>100</v>
      </c>
    </row>
    <row r="26" spans="3:13" x14ac:dyDescent="0.3">
      <c r="C26" t="s">
        <v>406</v>
      </c>
      <c r="D26">
        <v>550</v>
      </c>
    </row>
    <row r="28" spans="3:13" x14ac:dyDescent="0.3">
      <c r="C28" t="s">
        <v>405</v>
      </c>
    </row>
    <row r="29" spans="3:13" x14ac:dyDescent="0.3">
      <c r="C29" t="s">
        <v>174</v>
      </c>
      <c r="D29">
        <v>0.9</v>
      </c>
    </row>
    <row r="30" spans="3:13" x14ac:dyDescent="0.3">
      <c r="C30" t="s">
        <v>404</v>
      </c>
      <c r="D30">
        <v>0.97</v>
      </c>
    </row>
    <row r="31" spans="3:13" x14ac:dyDescent="0.3">
      <c r="C31" t="s">
        <v>403</v>
      </c>
      <c r="D31">
        <v>1.05</v>
      </c>
    </row>
    <row r="32" spans="3:13" x14ac:dyDescent="0.3">
      <c r="C32" t="s">
        <v>402</v>
      </c>
      <c r="D32">
        <v>0.95</v>
      </c>
    </row>
    <row r="34" spans="3:5" x14ac:dyDescent="0.3">
      <c r="C34" t="s">
        <v>401</v>
      </c>
    </row>
    <row r="35" spans="3:5" x14ac:dyDescent="0.3">
      <c r="C35" t="s">
        <v>400</v>
      </c>
      <c r="E35">
        <v>0.1</v>
      </c>
    </row>
    <row r="36" spans="3:5" x14ac:dyDescent="0.3">
      <c r="C36" t="s">
        <v>399</v>
      </c>
      <c r="E36">
        <v>0.05</v>
      </c>
    </row>
    <row r="37" spans="3:5" x14ac:dyDescent="0.3">
      <c r="C37" t="s">
        <v>398</v>
      </c>
      <c r="E37">
        <v>0.15</v>
      </c>
    </row>
    <row r="38" spans="3:5" x14ac:dyDescent="0.3">
      <c r="C38" t="s">
        <v>397</v>
      </c>
      <c r="E38">
        <v>0.02</v>
      </c>
    </row>
    <row r="40" spans="3:5" x14ac:dyDescent="0.3">
      <c r="C40" t="s">
        <v>396</v>
      </c>
    </row>
    <row r="41" spans="3:5" x14ac:dyDescent="0.3">
      <c r="C41" t="s">
        <v>395</v>
      </c>
      <c r="D41" t="s">
        <v>394</v>
      </c>
      <c r="E41" t="s">
        <v>393</v>
      </c>
    </row>
    <row r="42" spans="3:5" x14ac:dyDescent="0.3">
      <c r="C42" t="s">
        <v>392</v>
      </c>
      <c r="D42">
        <v>4.1000000000000002E-2</v>
      </c>
      <c r="E42">
        <v>1460</v>
      </c>
    </row>
    <row r="43" spans="3:5" x14ac:dyDescent="0.3">
      <c r="C43" t="s">
        <v>391</v>
      </c>
      <c r="D43">
        <v>4.9000000000000002E-2</v>
      </c>
      <c r="E43">
        <v>2250</v>
      </c>
    </row>
    <row r="44" spans="3:5" x14ac:dyDescent="0.3">
      <c r="C44" t="s">
        <v>390</v>
      </c>
      <c r="D44">
        <v>5.7000000000000002E-2</v>
      </c>
      <c r="E44">
        <v>3000</v>
      </c>
    </row>
    <row r="45" spans="3:5" x14ac:dyDescent="0.3">
      <c r="C45" t="s">
        <v>389</v>
      </c>
      <c r="D45">
        <v>7.4999999999999997E-2</v>
      </c>
      <c r="E45">
        <v>5650</v>
      </c>
    </row>
    <row r="46" spans="3:5" x14ac:dyDescent="0.3">
      <c r="C46" t="s">
        <v>388</v>
      </c>
      <c r="D46">
        <v>0.111</v>
      </c>
      <c r="E46">
        <v>4520</v>
      </c>
    </row>
    <row r="47" spans="3:5" x14ac:dyDescent="0.3">
      <c r="C47" t="s">
        <v>387</v>
      </c>
      <c r="D47">
        <v>0.17399999999999999</v>
      </c>
      <c r="E47">
        <v>6000</v>
      </c>
    </row>
    <row r="48" spans="3:5" x14ac:dyDescent="0.3">
      <c r="C48" t="s">
        <v>386</v>
      </c>
      <c r="D48">
        <v>0.27100000000000002</v>
      </c>
      <c r="E48">
        <v>3800</v>
      </c>
    </row>
    <row r="49" spans="3:5" x14ac:dyDescent="0.3">
      <c r="C49" t="s">
        <v>385</v>
      </c>
      <c r="D49">
        <v>0.42</v>
      </c>
      <c r="E49">
        <v>2520</v>
      </c>
    </row>
    <row r="50" spans="3:5" x14ac:dyDescent="0.3">
      <c r="C50" t="s">
        <v>384</v>
      </c>
      <c r="D50">
        <v>0.56499999999999995</v>
      </c>
      <c r="E50">
        <v>4010</v>
      </c>
    </row>
    <row r="51" spans="3:5" x14ac:dyDescent="0.3">
      <c r="C51" t="s">
        <v>383</v>
      </c>
      <c r="D51">
        <v>0.92500000000000004</v>
      </c>
      <c r="E51">
        <v>1890</v>
      </c>
    </row>
    <row r="52" spans="3:5" x14ac:dyDescent="0.3">
      <c r="C52" t="s">
        <v>382</v>
      </c>
      <c r="D52">
        <v>1.665</v>
      </c>
      <c r="E52">
        <v>1550</v>
      </c>
    </row>
    <row r="53" spans="3:5" x14ac:dyDescent="0.3">
      <c r="C53" t="s">
        <v>381</v>
      </c>
      <c r="D53">
        <v>4.165</v>
      </c>
      <c r="E53">
        <v>980</v>
      </c>
    </row>
  </sheetData>
  <mergeCells count="3">
    <mergeCell ref="C10:F10"/>
    <mergeCell ref="C22:G22"/>
    <mergeCell ref="I22:M22"/>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3CDEA-6C64-4B07-8DE4-A6D33B1E861C}">
  <sheetPr>
    <tabColor theme="9" tint="0.59999389629810485"/>
  </sheetPr>
  <dimension ref="A1:M53"/>
  <sheetViews>
    <sheetView workbookViewId="0">
      <selection activeCell="I48" sqref="I48"/>
    </sheetView>
  </sheetViews>
  <sheetFormatPr defaultRowHeight="14.4" x14ac:dyDescent="0.3"/>
  <cols>
    <col min="3" max="4" width="16.88671875" customWidth="1"/>
    <col min="11" max="12" width="9.88671875" bestFit="1" customWidth="1"/>
  </cols>
  <sheetData>
    <row r="1" spans="1:8" ht="15" thickBot="1" x14ac:dyDescent="0.35">
      <c r="A1" t="s">
        <v>411</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t="s">
        <v>410</v>
      </c>
    </row>
    <row r="13" spans="1:8" x14ac:dyDescent="0.3">
      <c r="C13" t="s">
        <v>409</v>
      </c>
    </row>
    <row r="21" spans="3:13" ht="15" thickBot="1" x14ac:dyDescent="0.35"/>
    <row r="22" spans="3:13" ht="15" thickBot="1" x14ac:dyDescent="0.35">
      <c r="C22" s="375" t="s">
        <v>4</v>
      </c>
      <c r="D22" s="376"/>
      <c r="E22" s="376"/>
      <c r="F22" s="376"/>
      <c r="G22" s="377"/>
      <c r="I22" s="375" t="s">
        <v>3</v>
      </c>
      <c r="J22" s="376"/>
      <c r="K22" s="376"/>
      <c r="L22" s="376"/>
      <c r="M22" s="377"/>
    </row>
    <row r="24" spans="3:13" x14ac:dyDescent="0.3">
      <c r="C24" t="s">
        <v>408</v>
      </c>
    </row>
    <row r="25" spans="3:13" x14ac:dyDescent="0.3">
      <c r="C25" t="s">
        <v>407</v>
      </c>
      <c r="D25">
        <v>100</v>
      </c>
      <c r="I25" t="s">
        <v>395</v>
      </c>
      <c r="J25" t="s">
        <v>394</v>
      </c>
      <c r="K25" t="s">
        <v>393</v>
      </c>
      <c r="L25" t="s">
        <v>821</v>
      </c>
    </row>
    <row r="26" spans="3:13" x14ac:dyDescent="0.3">
      <c r="C26" t="s">
        <v>406</v>
      </c>
      <c r="D26">
        <v>550</v>
      </c>
      <c r="I26" t="s">
        <v>392</v>
      </c>
      <c r="J26">
        <f t="shared" ref="J26:J37" si="0">D42</f>
        <v>4.1000000000000002E-2</v>
      </c>
      <c r="K26" s="109">
        <f t="shared" ref="K26:K37" si="1">E42</f>
        <v>1460</v>
      </c>
      <c r="L26" s="109">
        <f t="shared" ref="L26:L37" si="2">J26*K26</f>
        <v>59.86</v>
      </c>
    </row>
    <row r="27" spans="3:13" x14ac:dyDescent="0.3">
      <c r="I27" t="s">
        <v>391</v>
      </c>
      <c r="J27">
        <f t="shared" si="0"/>
        <v>4.9000000000000002E-2</v>
      </c>
      <c r="K27" s="109">
        <f t="shared" si="1"/>
        <v>2250</v>
      </c>
      <c r="L27" s="109">
        <f t="shared" si="2"/>
        <v>110.25</v>
      </c>
    </row>
    <row r="28" spans="3:13" x14ac:dyDescent="0.3">
      <c r="C28" t="s">
        <v>405</v>
      </c>
      <c r="I28" t="s">
        <v>390</v>
      </c>
      <c r="J28">
        <f t="shared" si="0"/>
        <v>5.7000000000000002E-2</v>
      </c>
      <c r="K28" s="109">
        <f t="shared" si="1"/>
        <v>3000</v>
      </c>
      <c r="L28" s="109">
        <f t="shared" si="2"/>
        <v>171</v>
      </c>
    </row>
    <row r="29" spans="3:13" x14ac:dyDescent="0.3">
      <c r="C29" t="s">
        <v>174</v>
      </c>
      <c r="D29">
        <v>0.9</v>
      </c>
      <c r="I29" t="s">
        <v>389</v>
      </c>
      <c r="J29">
        <f t="shared" si="0"/>
        <v>7.4999999999999997E-2</v>
      </c>
      <c r="K29" s="109">
        <f t="shared" si="1"/>
        <v>5650</v>
      </c>
      <c r="L29" s="109">
        <f t="shared" si="2"/>
        <v>423.75</v>
      </c>
    </row>
    <row r="30" spans="3:13" x14ac:dyDescent="0.3">
      <c r="C30" t="s">
        <v>404</v>
      </c>
      <c r="D30">
        <v>0.97</v>
      </c>
      <c r="I30" t="s">
        <v>388</v>
      </c>
      <c r="J30">
        <f t="shared" si="0"/>
        <v>0.111</v>
      </c>
      <c r="K30" s="109">
        <f t="shared" si="1"/>
        <v>4520</v>
      </c>
      <c r="L30" s="109">
        <f t="shared" si="2"/>
        <v>501.72</v>
      </c>
    </row>
    <row r="31" spans="3:13" x14ac:dyDescent="0.3">
      <c r="C31" t="s">
        <v>403</v>
      </c>
      <c r="D31">
        <v>1.05</v>
      </c>
      <c r="I31" t="s">
        <v>387</v>
      </c>
      <c r="J31">
        <f t="shared" si="0"/>
        <v>0.17399999999999999</v>
      </c>
      <c r="K31" s="109">
        <f t="shared" si="1"/>
        <v>6000</v>
      </c>
      <c r="L31" s="109">
        <f t="shared" si="2"/>
        <v>1044</v>
      </c>
    </row>
    <row r="32" spans="3:13" x14ac:dyDescent="0.3">
      <c r="C32" t="s">
        <v>402</v>
      </c>
      <c r="D32">
        <v>0.95</v>
      </c>
      <c r="I32" t="s">
        <v>386</v>
      </c>
      <c r="J32">
        <f t="shared" si="0"/>
        <v>0.27100000000000002</v>
      </c>
      <c r="K32" s="109">
        <f t="shared" si="1"/>
        <v>3800</v>
      </c>
      <c r="L32" s="109">
        <f t="shared" si="2"/>
        <v>1029.8000000000002</v>
      </c>
    </row>
    <row r="33" spans="3:12" x14ac:dyDescent="0.3">
      <c r="I33" t="s">
        <v>385</v>
      </c>
      <c r="J33">
        <f t="shared" si="0"/>
        <v>0.42</v>
      </c>
      <c r="K33" s="109">
        <f t="shared" si="1"/>
        <v>2520</v>
      </c>
      <c r="L33" s="109">
        <f t="shared" si="2"/>
        <v>1058.3999999999999</v>
      </c>
    </row>
    <row r="34" spans="3:12" x14ac:dyDescent="0.3">
      <c r="C34" t="s">
        <v>401</v>
      </c>
      <c r="I34" t="s">
        <v>384</v>
      </c>
      <c r="J34">
        <f t="shared" si="0"/>
        <v>0.56499999999999995</v>
      </c>
      <c r="K34" s="109">
        <f t="shared" si="1"/>
        <v>4010</v>
      </c>
      <c r="L34" s="109">
        <f t="shared" si="2"/>
        <v>2265.6499999999996</v>
      </c>
    </row>
    <row r="35" spans="3:12" x14ac:dyDescent="0.3">
      <c r="C35" t="s">
        <v>400</v>
      </c>
      <c r="E35">
        <v>0.1</v>
      </c>
      <c r="I35" t="s">
        <v>383</v>
      </c>
      <c r="J35">
        <f t="shared" si="0"/>
        <v>0.92500000000000004</v>
      </c>
      <c r="K35" s="109">
        <f t="shared" si="1"/>
        <v>1890</v>
      </c>
      <c r="L35" s="109">
        <f t="shared" si="2"/>
        <v>1748.25</v>
      </c>
    </row>
    <row r="36" spans="3:12" x14ac:dyDescent="0.3">
      <c r="C36" t="s">
        <v>399</v>
      </c>
      <c r="E36">
        <v>0.05</v>
      </c>
      <c r="I36" t="s">
        <v>382</v>
      </c>
      <c r="J36">
        <f t="shared" si="0"/>
        <v>1.665</v>
      </c>
      <c r="K36" s="109">
        <f t="shared" si="1"/>
        <v>1550</v>
      </c>
      <c r="L36" s="109">
        <f t="shared" si="2"/>
        <v>2580.75</v>
      </c>
    </row>
    <row r="37" spans="3:12" x14ac:dyDescent="0.3">
      <c r="C37" t="s">
        <v>398</v>
      </c>
      <c r="E37">
        <v>0.15</v>
      </c>
      <c r="I37" s="26" t="s">
        <v>381</v>
      </c>
      <c r="J37" s="26">
        <f t="shared" si="0"/>
        <v>4.165</v>
      </c>
      <c r="K37" s="181">
        <f t="shared" si="1"/>
        <v>980</v>
      </c>
      <c r="L37" s="181">
        <f t="shared" si="2"/>
        <v>4081.7</v>
      </c>
    </row>
    <row r="38" spans="3:12" x14ac:dyDescent="0.3">
      <c r="C38" t="s">
        <v>397</v>
      </c>
      <c r="E38">
        <v>0.02</v>
      </c>
      <c r="K38" s="109">
        <f>SUM(K26:K37)</f>
        <v>37630</v>
      </c>
      <c r="L38" s="109">
        <f>SUM(L26:L37)</f>
        <v>15075.130000000001</v>
      </c>
    </row>
    <row r="40" spans="3:12" x14ac:dyDescent="0.3">
      <c r="C40" t="s">
        <v>396</v>
      </c>
    </row>
    <row r="41" spans="3:12" x14ac:dyDescent="0.3">
      <c r="C41" t="s">
        <v>395</v>
      </c>
      <c r="D41" t="s">
        <v>394</v>
      </c>
      <c r="E41" t="s">
        <v>393</v>
      </c>
      <c r="K41" s="99" t="s">
        <v>820</v>
      </c>
    </row>
    <row r="42" spans="3:12" x14ac:dyDescent="0.3">
      <c r="C42" t="s">
        <v>392</v>
      </c>
      <c r="D42">
        <v>4.1000000000000002E-2</v>
      </c>
      <c r="E42">
        <v>1460</v>
      </c>
      <c r="K42">
        <f>L38/K38</f>
        <v>0.40061466914695726</v>
      </c>
      <c r="L42" t="s">
        <v>819</v>
      </c>
    </row>
    <row r="43" spans="3:12" x14ac:dyDescent="0.3">
      <c r="C43" t="s">
        <v>391</v>
      </c>
      <c r="D43">
        <v>4.9000000000000002E-2</v>
      </c>
      <c r="E43">
        <v>2250</v>
      </c>
      <c r="K43">
        <f>PRODUCT(D29:D32)</f>
        <v>0.87081750000000002</v>
      </c>
      <c r="L43" t="s">
        <v>818</v>
      </c>
    </row>
    <row r="44" spans="3:12" x14ac:dyDescent="0.3">
      <c r="C44" t="s">
        <v>390</v>
      </c>
      <c r="D44">
        <v>5.7000000000000002E-2</v>
      </c>
      <c r="E44">
        <v>3000</v>
      </c>
    </row>
    <row r="45" spans="3:12" x14ac:dyDescent="0.3">
      <c r="C45" t="s">
        <v>389</v>
      </c>
      <c r="D45">
        <v>7.4999999999999997E-2</v>
      </c>
      <c r="E45">
        <v>5650</v>
      </c>
      <c r="K45" s="184">
        <f>K42*K43</f>
        <v>0.34886226464988046</v>
      </c>
      <c r="L45" t="s">
        <v>817</v>
      </c>
    </row>
    <row r="46" spans="3:12" x14ac:dyDescent="0.3">
      <c r="C46" t="s">
        <v>388</v>
      </c>
      <c r="D46">
        <v>0.111</v>
      </c>
      <c r="E46">
        <v>4520</v>
      </c>
    </row>
    <row r="47" spans="3:12" x14ac:dyDescent="0.3">
      <c r="C47" t="s">
        <v>387</v>
      </c>
      <c r="D47">
        <v>0.17399999999999999</v>
      </c>
      <c r="E47">
        <v>6000</v>
      </c>
      <c r="K47" s="184">
        <f>(K45+E37*K45)/(1-SUM(E35,E36,E38))</f>
        <v>0.48336337873176211</v>
      </c>
      <c r="L47" t="s">
        <v>816</v>
      </c>
    </row>
    <row r="48" spans="3:12" x14ac:dyDescent="0.3">
      <c r="C48" t="s">
        <v>386</v>
      </c>
      <c r="D48">
        <v>0.27100000000000002</v>
      </c>
      <c r="E48">
        <v>3800</v>
      </c>
      <c r="K48" t="s">
        <v>729</v>
      </c>
    </row>
    <row r="49" spans="3:12" x14ac:dyDescent="0.3">
      <c r="C49" t="s">
        <v>385</v>
      </c>
      <c r="D49">
        <v>0.42</v>
      </c>
      <c r="E49">
        <v>2520</v>
      </c>
      <c r="K49">
        <f>K47*K38/SUM(D25:D26)</f>
        <v>27.983021448732625</v>
      </c>
      <c r="L49" t="s">
        <v>815</v>
      </c>
    </row>
    <row r="50" spans="3:12" x14ac:dyDescent="0.3">
      <c r="C50" t="s">
        <v>384</v>
      </c>
      <c r="D50">
        <v>0.56499999999999995</v>
      </c>
      <c r="E50">
        <v>4010</v>
      </c>
    </row>
    <row r="51" spans="3:12" x14ac:dyDescent="0.3">
      <c r="C51" t="s">
        <v>383</v>
      </c>
      <c r="D51">
        <v>0.92500000000000004</v>
      </c>
      <c r="E51">
        <v>1890</v>
      </c>
    </row>
    <row r="52" spans="3:12" x14ac:dyDescent="0.3">
      <c r="C52" t="s">
        <v>382</v>
      </c>
      <c r="D52">
        <v>1.665</v>
      </c>
      <c r="E52">
        <v>1550</v>
      </c>
    </row>
    <row r="53" spans="3:12" x14ac:dyDescent="0.3">
      <c r="C53" t="s">
        <v>381</v>
      </c>
      <c r="D53">
        <v>4.165</v>
      </c>
      <c r="E53">
        <v>980</v>
      </c>
    </row>
  </sheetData>
  <mergeCells count="3">
    <mergeCell ref="C10:F10"/>
    <mergeCell ref="C22:G22"/>
    <mergeCell ref="I22:M2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DE672-68D2-465C-A3D3-D1C5A9831048}">
  <sheetPr>
    <tabColor theme="5" tint="0.39997558519241921"/>
  </sheetPr>
  <dimension ref="A1:M32"/>
  <sheetViews>
    <sheetView workbookViewId="0">
      <selection activeCell="C43" sqref="C43"/>
    </sheetView>
  </sheetViews>
  <sheetFormatPr defaultRowHeight="14.4" x14ac:dyDescent="0.3"/>
  <sheetData>
    <row r="1" spans="1:8" ht="15" thickBot="1" x14ac:dyDescent="0.35">
      <c r="A1" t="s">
        <v>14</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3" spans="1:8" x14ac:dyDescent="0.3">
      <c r="D13" t="s">
        <v>7</v>
      </c>
    </row>
    <row r="14" spans="1:8" x14ac:dyDescent="0.3">
      <c r="C14">
        <v>0.05</v>
      </c>
      <c r="D14" t="s">
        <v>6</v>
      </c>
    </row>
    <row r="16" spans="1:8" x14ac:dyDescent="0.3">
      <c r="C16" s="4">
        <v>1500</v>
      </c>
      <c r="D16" t="s">
        <v>5</v>
      </c>
    </row>
    <row r="21" spans="3:13" ht="15" thickBot="1" x14ac:dyDescent="0.35"/>
    <row r="22" spans="3:13" ht="15" thickBot="1" x14ac:dyDescent="0.35">
      <c r="C22" s="375" t="s">
        <v>4</v>
      </c>
      <c r="D22" s="376"/>
      <c r="E22" s="376"/>
      <c r="F22" s="376"/>
      <c r="G22" s="377"/>
      <c r="I22" s="375" t="s">
        <v>3</v>
      </c>
      <c r="J22" s="376"/>
      <c r="K22" s="376"/>
      <c r="L22" s="376"/>
      <c r="M22" s="377"/>
    </row>
    <row r="24" spans="3:13" x14ac:dyDescent="0.3">
      <c r="C24" t="s">
        <v>2</v>
      </c>
    </row>
    <row r="26" spans="3:13" ht="31.35" customHeight="1" x14ac:dyDescent="0.3">
      <c r="C26" s="3" t="s">
        <v>1</v>
      </c>
      <c r="D26" s="3" t="s">
        <v>0</v>
      </c>
    </row>
    <row r="27" spans="3:13" x14ac:dyDescent="0.3">
      <c r="C27" s="2">
        <v>0.3</v>
      </c>
      <c r="D27" s="1">
        <v>0</v>
      </c>
    </row>
    <row r="28" spans="3:13" x14ac:dyDescent="0.3">
      <c r="C28" s="2">
        <v>0.25</v>
      </c>
      <c r="D28" s="1">
        <v>20</v>
      </c>
    </row>
    <row r="29" spans="3:13" x14ac:dyDescent="0.3">
      <c r="C29" s="2">
        <v>0.2</v>
      </c>
      <c r="D29" s="1">
        <v>70</v>
      </c>
    </row>
    <row r="30" spans="3:13" x14ac:dyDescent="0.3">
      <c r="C30" s="2">
        <v>0.15</v>
      </c>
      <c r="D30" s="1">
        <v>250</v>
      </c>
    </row>
    <row r="31" spans="3:13" x14ac:dyDescent="0.3">
      <c r="C31" s="2">
        <v>0.09</v>
      </c>
      <c r="D31" s="1">
        <v>800</v>
      </c>
    </row>
    <row r="32" spans="3:13" x14ac:dyDescent="0.3">
      <c r="C32" s="2">
        <v>0.01</v>
      </c>
      <c r="D32" s="1">
        <v>2000</v>
      </c>
    </row>
  </sheetData>
  <mergeCells count="3">
    <mergeCell ref="C10:F10"/>
    <mergeCell ref="C22:G22"/>
    <mergeCell ref="I22:M22"/>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319C0-5758-4181-91FC-121B6C47FE5B}">
  <sheetPr>
    <tabColor theme="5" tint="0.39997558519241921"/>
  </sheetPr>
  <dimension ref="A1:H51"/>
  <sheetViews>
    <sheetView workbookViewId="0">
      <selection activeCell="B5" sqref="B5"/>
    </sheetView>
  </sheetViews>
  <sheetFormatPr defaultRowHeight="14.4" x14ac:dyDescent="0.3"/>
  <sheetData>
    <row r="1" spans="1:8" ht="15" thickBot="1" x14ac:dyDescent="0.35">
      <c r="A1" t="s">
        <v>422</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s="109">
        <v>100</v>
      </c>
      <c r="D12" t="s">
        <v>421</v>
      </c>
    </row>
    <row r="13" spans="1:8" x14ac:dyDescent="0.3">
      <c r="C13">
        <v>0.73</v>
      </c>
      <c r="D13" t="s">
        <v>420</v>
      </c>
    </row>
    <row r="14" spans="1:8" x14ac:dyDescent="0.3">
      <c r="C14">
        <v>0.75</v>
      </c>
      <c r="D14" t="s">
        <v>419</v>
      </c>
    </row>
    <row r="15" spans="1:8" x14ac:dyDescent="0.3">
      <c r="C15" s="109">
        <v>5</v>
      </c>
      <c r="D15" t="s">
        <v>418</v>
      </c>
    </row>
    <row r="16" spans="1:8" x14ac:dyDescent="0.3">
      <c r="C16" s="109">
        <v>3</v>
      </c>
      <c r="D16" t="s">
        <v>417</v>
      </c>
    </row>
    <row r="17" spans="1:7" x14ac:dyDescent="0.3">
      <c r="C17">
        <v>0.03</v>
      </c>
      <c r="D17" t="s">
        <v>416</v>
      </c>
    </row>
    <row r="18" spans="1:7" x14ac:dyDescent="0.3">
      <c r="C18">
        <v>0.2</v>
      </c>
      <c r="D18" t="s">
        <v>216</v>
      </c>
    </row>
    <row r="21" spans="1:7" x14ac:dyDescent="0.3">
      <c r="C21">
        <v>0.1</v>
      </c>
      <c r="D21" t="s">
        <v>415</v>
      </c>
    </row>
    <row r="22" spans="1:7" x14ac:dyDescent="0.3">
      <c r="C22">
        <v>0.15</v>
      </c>
      <c r="D22" t="s">
        <v>414</v>
      </c>
    </row>
    <row r="23" spans="1:7" x14ac:dyDescent="0.3">
      <c r="C23">
        <v>0.05</v>
      </c>
      <c r="D23" t="s">
        <v>413</v>
      </c>
    </row>
    <row r="25" spans="1:7" ht="15" thickBot="1" x14ac:dyDescent="0.35"/>
    <row r="26" spans="1:7" ht="15" thickBot="1" x14ac:dyDescent="0.35">
      <c r="C26" s="375" t="s">
        <v>3</v>
      </c>
      <c r="D26" s="376"/>
      <c r="E26" s="376"/>
      <c r="F26" s="376"/>
      <c r="G26" s="377"/>
    </row>
    <row r="28" spans="1:7" x14ac:dyDescent="0.3">
      <c r="A28" t="s">
        <v>27</v>
      </c>
    </row>
    <row r="42" spans="1:1" x14ac:dyDescent="0.3">
      <c r="A42" t="s">
        <v>18</v>
      </c>
    </row>
    <row r="51" spans="1:1" x14ac:dyDescent="0.3">
      <c r="A51" t="s">
        <v>412</v>
      </c>
    </row>
  </sheetData>
  <mergeCells count="2">
    <mergeCell ref="C10:F10"/>
    <mergeCell ref="C26:G26"/>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2EABC-D316-42A4-8AC5-FEBD86F94C1A}">
  <sheetPr>
    <tabColor theme="9" tint="0.59999389629810485"/>
  </sheetPr>
  <dimension ref="A1:U58"/>
  <sheetViews>
    <sheetView workbookViewId="0">
      <selection activeCell="I48" sqref="I48"/>
    </sheetView>
  </sheetViews>
  <sheetFormatPr defaultRowHeight="14.4" x14ac:dyDescent="0.3"/>
  <sheetData>
    <row r="1" spans="1:8" ht="15" thickBot="1" x14ac:dyDescent="0.35">
      <c r="A1" t="s">
        <v>422</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s="109">
        <v>100</v>
      </c>
      <c r="D12" t="s">
        <v>421</v>
      </c>
    </row>
    <row r="13" spans="1:8" x14ac:dyDescent="0.3">
      <c r="C13">
        <v>0.73</v>
      </c>
      <c r="D13" t="s">
        <v>420</v>
      </c>
    </row>
    <row r="14" spans="1:8" x14ac:dyDescent="0.3">
      <c r="C14">
        <v>0.75</v>
      </c>
      <c r="D14" t="s">
        <v>419</v>
      </c>
    </row>
    <row r="15" spans="1:8" x14ac:dyDescent="0.3">
      <c r="C15" s="109">
        <v>5</v>
      </c>
      <c r="D15" t="s">
        <v>418</v>
      </c>
    </row>
    <row r="16" spans="1:8" x14ac:dyDescent="0.3">
      <c r="C16" s="109">
        <v>3</v>
      </c>
      <c r="D16" t="s">
        <v>417</v>
      </c>
    </row>
    <row r="17" spans="1:21" x14ac:dyDescent="0.3">
      <c r="C17">
        <v>0.03</v>
      </c>
      <c r="D17" t="s">
        <v>416</v>
      </c>
    </row>
    <row r="18" spans="1:21" x14ac:dyDescent="0.3">
      <c r="C18">
        <v>0.2</v>
      </c>
      <c r="D18" t="s">
        <v>216</v>
      </c>
    </row>
    <row r="21" spans="1:21" x14ac:dyDescent="0.3">
      <c r="C21">
        <v>0.1</v>
      </c>
      <c r="D21" t="s">
        <v>415</v>
      </c>
    </row>
    <row r="22" spans="1:21" x14ac:dyDescent="0.3">
      <c r="C22">
        <v>0.15</v>
      </c>
      <c r="D22" t="s">
        <v>414</v>
      </c>
    </row>
    <row r="23" spans="1:21" x14ac:dyDescent="0.3">
      <c r="C23">
        <v>0.05</v>
      </c>
      <c r="D23" t="s">
        <v>413</v>
      </c>
    </row>
    <row r="25" spans="1:21" ht="15" thickBot="1" x14ac:dyDescent="0.35"/>
    <row r="26" spans="1:21" ht="15" thickBot="1" x14ac:dyDescent="0.35">
      <c r="C26" s="375" t="s">
        <v>3</v>
      </c>
      <c r="D26" s="376"/>
      <c r="E26" s="376"/>
      <c r="F26" s="376"/>
      <c r="G26" s="377"/>
    </row>
    <row r="28" spans="1:21" x14ac:dyDescent="0.3">
      <c r="A28" t="s">
        <v>27</v>
      </c>
    </row>
    <row r="29" spans="1:21" x14ac:dyDescent="0.3">
      <c r="C29" s="112" t="s">
        <v>511</v>
      </c>
    </row>
    <row r="30" spans="1:21" x14ac:dyDescent="0.3">
      <c r="C30" s="109">
        <f>C12</f>
        <v>100</v>
      </c>
      <c r="D30" t="s">
        <v>652</v>
      </c>
      <c r="E30" s="9" t="s">
        <v>829</v>
      </c>
      <c r="F30" s="9"/>
      <c r="G30" s="9"/>
      <c r="H30" s="9"/>
      <c r="I30" s="9"/>
      <c r="J30" s="9"/>
    </row>
    <row r="31" spans="1:21" x14ac:dyDescent="0.3">
      <c r="C31" s="109">
        <f>C30-C15</f>
        <v>95</v>
      </c>
      <c r="D31" t="s">
        <v>763</v>
      </c>
      <c r="E31" s="9" t="s">
        <v>828</v>
      </c>
      <c r="F31" s="9"/>
      <c r="G31" s="9"/>
      <c r="H31" s="9"/>
      <c r="I31" s="9"/>
      <c r="J31" s="9"/>
      <c r="K31" s="9"/>
      <c r="L31" s="9"/>
      <c r="M31" s="9"/>
      <c r="N31" s="9"/>
      <c r="O31" s="9"/>
      <c r="P31" s="9"/>
      <c r="Q31" s="9"/>
      <c r="R31" s="9"/>
      <c r="S31" s="9"/>
      <c r="T31" s="9"/>
      <c r="U31" s="9"/>
    </row>
    <row r="32" spans="1:21" x14ac:dyDescent="0.3">
      <c r="C32" s="109">
        <f>C31/(1-C13)</f>
        <v>351.85185185185185</v>
      </c>
      <c r="D32" t="s">
        <v>765</v>
      </c>
    </row>
    <row r="34" spans="1:4" x14ac:dyDescent="0.3">
      <c r="C34" s="112" t="s">
        <v>826</v>
      </c>
    </row>
    <row r="35" spans="1:4" x14ac:dyDescent="0.3">
      <c r="C35" s="109">
        <f>C32</f>
        <v>351.85185185185185</v>
      </c>
      <c r="D35" t="s">
        <v>765</v>
      </c>
    </row>
    <row r="36" spans="1:4" x14ac:dyDescent="0.3">
      <c r="C36" s="109">
        <f>C35*(1-C14)</f>
        <v>87.962962962962962</v>
      </c>
      <c r="D36" t="s">
        <v>763</v>
      </c>
    </row>
    <row r="37" spans="1:4" x14ac:dyDescent="0.3">
      <c r="C37" s="109">
        <f>C36+C16</f>
        <v>90.962962962962962</v>
      </c>
      <c r="D37" t="s">
        <v>652</v>
      </c>
    </row>
    <row r="39" spans="1:4" x14ac:dyDescent="0.3">
      <c r="C39" s="5">
        <f>C37-C30</f>
        <v>-9.0370370370370381</v>
      </c>
      <c r="D39" t="s">
        <v>827</v>
      </c>
    </row>
    <row r="42" spans="1:4" x14ac:dyDescent="0.3">
      <c r="A42" t="s">
        <v>18</v>
      </c>
    </row>
    <row r="43" spans="1:4" x14ac:dyDescent="0.3">
      <c r="C43" s="112" t="s">
        <v>511</v>
      </c>
    </row>
    <row r="44" spans="1:4" x14ac:dyDescent="0.3">
      <c r="C44" s="109">
        <f>C30*C18</f>
        <v>20</v>
      </c>
      <c r="D44" t="s">
        <v>627</v>
      </c>
    </row>
    <row r="45" spans="1:4" x14ac:dyDescent="0.3">
      <c r="C45" s="109"/>
    </row>
    <row r="46" spans="1:4" x14ac:dyDescent="0.3">
      <c r="C46" s="112" t="s">
        <v>826</v>
      </c>
    </row>
    <row r="47" spans="1:4" x14ac:dyDescent="0.3">
      <c r="C47" s="109">
        <f>C37*C18</f>
        <v>18.192592592592593</v>
      </c>
      <c r="D47" t="s">
        <v>627</v>
      </c>
    </row>
    <row r="49" spans="1:4" x14ac:dyDescent="0.3">
      <c r="C49" s="5">
        <f>C47-C44</f>
        <v>-1.8074074074074069</v>
      </c>
      <c r="D49" t="s">
        <v>825</v>
      </c>
    </row>
    <row r="51" spans="1:4" x14ac:dyDescent="0.3">
      <c r="A51" t="s">
        <v>412</v>
      </c>
    </row>
    <row r="52" spans="1:4" x14ac:dyDescent="0.3">
      <c r="C52" s="109">
        <f>C37</f>
        <v>90.962962962962962</v>
      </c>
      <c r="D52" t="s">
        <v>652</v>
      </c>
    </row>
    <row r="53" spans="1:4" x14ac:dyDescent="0.3">
      <c r="C53" s="109">
        <f>C52*(1+C21)</f>
        <v>100.05925925925926</v>
      </c>
      <c r="D53" t="s">
        <v>824</v>
      </c>
    </row>
    <row r="54" spans="1:4" x14ac:dyDescent="0.3">
      <c r="C54" s="109">
        <f>C53*C18</f>
        <v>20.011851851851855</v>
      </c>
      <c r="D54" t="s">
        <v>627</v>
      </c>
    </row>
    <row r="55" spans="1:4" x14ac:dyDescent="0.3">
      <c r="C55" s="109">
        <f>C53*C17</f>
        <v>3.0017777777777779</v>
      </c>
      <c r="D55" t="s">
        <v>416</v>
      </c>
    </row>
    <row r="56" spans="1:4" x14ac:dyDescent="0.3">
      <c r="C56" s="109">
        <f>C53-C54-C55</f>
        <v>77.04562962962963</v>
      </c>
      <c r="D56" t="s">
        <v>823</v>
      </c>
    </row>
    <row r="58" spans="1:4" x14ac:dyDescent="0.3">
      <c r="C58" s="5">
        <f>C56/(1-C22-C23)</f>
        <v>96.307037037037048</v>
      </c>
      <c r="D58" t="s">
        <v>822</v>
      </c>
    </row>
  </sheetData>
  <mergeCells count="2">
    <mergeCell ref="C10:F10"/>
    <mergeCell ref="C26:G26"/>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B895A-F27C-425C-B42A-B2856A4969A3}">
  <sheetPr>
    <tabColor theme="5" tint="0.39997558519241921"/>
  </sheetPr>
  <dimension ref="A1:M37"/>
  <sheetViews>
    <sheetView workbookViewId="0">
      <selection activeCell="B5" sqref="B5"/>
    </sheetView>
  </sheetViews>
  <sheetFormatPr defaultRowHeight="14.4" x14ac:dyDescent="0.3"/>
  <cols>
    <col min="3" max="3" width="26.88671875" bestFit="1" customWidth="1"/>
    <col min="5" max="6" width="12.33203125" customWidth="1"/>
    <col min="9" max="9" width="16.6640625" customWidth="1"/>
    <col min="10" max="10" width="13.33203125" customWidth="1"/>
    <col min="11" max="11" width="18.33203125" customWidth="1"/>
  </cols>
  <sheetData>
    <row r="1" spans="1:8" ht="15" thickBot="1" x14ac:dyDescent="0.35">
      <c r="A1" t="s">
        <v>435</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D12" t="s">
        <v>434</v>
      </c>
    </row>
    <row r="13" spans="1:8" x14ac:dyDescent="0.3">
      <c r="C13" s="55">
        <v>0.1</v>
      </c>
      <c r="D13" t="s">
        <v>433</v>
      </c>
    </row>
    <row r="21" spans="3:13" ht="15" thickBot="1" x14ac:dyDescent="0.35"/>
    <row r="22" spans="3:13" ht="15" thickBot="1" x14ac:dyDescent="0.35">
      <c r="C22" s="375" t="s">
        <v>4</v>
      </c>
      <c r="D22" s="376"/>
      <c r="E22" s="376"/>
      <c r="F22" s="376"/>
      <c r="G22" s="377"/>
      <c r="I22" s="375" t="s">
        <v>3</v>
      </c>
      <c r="J22" s="376"/>
      <c r="K22" s="376"/>
      <c r="L22" s="376"/>
      <c r="M22" s="377"/>
    </row>
    <row r="24" spans="3:13" x14ac:dyDescent="0.3">
      <c r="C24" t="s">
        <v>432</v>
      </c>
      <c r="D24" t="s">
        <v>87</v>
      </c>
      <c r="E24" t="s">
        <v>431</v>
      </c>
      <c r="F24" t="s">
        <v>239</v>
      </c>
    </row>
    <row r="25" spans="3:13" x14ac:dyDescent="0.3">
      <c r="C25" t="s">
        <v>430</v>
      </c>
      <c r="D25" t="s">
        <v>423</v>
      </c>
      <c r="E25">
        <v>0.14000000000000001</v>
      </c>
      <c r="F25">
        <v>0.15</v>
      </c>
    </row>
    <row r="26" spans="3:13" x14ac:dyDescent="0.3">
      <c r="D26" t="s">
        <v>84</v>
      </c>
      <c r="E26">
        <v>0.7</v>
      </c>
      <c r="F26">
        <v>0.73</v>
      </c>
    </row>
    <row r="27" spans="3:13" x14ac:dyDescent="0.3">
      <c r="C27" t="s">
        <v>429</v>
      </c>
      <c r="D27" t="s">
        <v>423</v>
      </c>
      <c r="E27" s="110">
        <v>1</v>
      </c>
      <c r="F27" s="110">
        <v>1.06</v>
      </c>
    </row>
    <row r="28" spans="3:13" x14ac:dyDescent="0.3">
      <c r="D28" t="s">
        <v>84</v>
      </c>
      <c r="E28" s="110">
        <v>0.5</v>
      </c>
      <c r="F28" s="110">
        <v>0.53</v>
      </c>
    </row>
    <row r="29" spans="3:13" x14ac:dyDescent="0.3">
      <c r="C29" t="s">
        <v>428</v>
      </c>
      <c r="D29" t="s">
        <v>423</v>
      </c>
      <c r="E29" s="110">
        <v>0.1</v>
      </c>
      <c r="F29" s="110">
        <v>0.11</v>
      </c>
    </row>
    <row r="30" spans="3:13" x14ac:dyDescent="0.3">
      <c r="D30" t="s">
        <v>84</v>
      </c>
      <c r="E30" s="110">
        <v>0.1</v>
      </c>
      <c r="F30" s="110">
        <v>0.11</v>
      </c>
    </row>
    <row r="31" spans="3:13" x14ac:dyDescent="0.3">
      <c r="C31" t="s">
        <v>427</v>
      </c>
      <c r="D31" t="s">
        <v>423</v>
      </c>
      <c r="E31" s="55">
        <v>0.4</v>
      </c>
      <c r="F31" s="55">
        <v>0.4</v>
      </c>
    </row>
    <row r="32" spans="3:13" x14ac:dyDescent="0.3">
      <c r="D32" t="s">
        <v>84</v>
      </c>
      <c r="E32" s="55">
        <v>0.1</v>
      </c>
      <c r="F32" s="55">
        <v>0.1</v>
      </c>
    </row>
    <row r="34" spans="3:5" x14ac:dyDescent="0.3">
      <c r="C34" t="s">
        <v>426</v>
      </c>
    </row>
    <row r="35" spans="3:5" x14ac:dyDescent="0.3">
      <c r="C35" t="s">
        <v>87</v>
      </c>
      <c r="D35" t="s">
        <v>425</v>
      </c>
      <c r="E35" t="s">
        <v>424</v>
      </c>
    </row>
    <row r="36" spans="3:5" x14ac:dyDescent="0.3">
      <c r="C36" t="s">
        <v>423</v>
      </c>
      <c r="D36" s="90">
        <v>80000</v>
      </c>
      <c r="E36" s="110">
        <v>60</v>
      </c>
    </row>
    <row r="37" spans="3:5" x14ac:dyDescent="0.3">
      <c r="C37" t="s">
        <v>84</v>
      </c>
      <c r="D37" s="90">
        <v>400000</v>
      </c>
      <c r="E37" s="110">
        <v>7</v>
      </c>
    </row>
  </sheetData>
  <mergeCells count="3">
    <mergeCell ref="C10:F10"/>
    <mergeCell ref="C22:G22"/>
    <mergeCell ref="I22:M22"/>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F61AF-2829-48CF-A8B9-0E532090472F}">
  <sheetPr>
    <tabColor theme="9" tint="0.59999389629810485"/>
  </sheetPr>
  <dimension ref="A1:U49"/>
  <sheetViews>
    <sheetView workbookViewId="0">
      <selection activeCell="I48" sqref="I48"/>
    </sheetView>
  </sheetViews>
  <sheetFormatPr defaultRowHeight="14.4" x14ac:dyDescent="0.3"/>
  <cols>
    <col min="3" max="3" width="26.88671875" bestFit="1" customWidth="1"/>
    <col min="5" max="6" width="12.33203125" customWidth="1"/>
    <col min="9" max="9" width="16.6640625" customWidth="1"/>
    <col min="10" max="10" width="13.33203125" customWidth="1"/>
    <col min="11" max="11" width="18.33203125" customWidth="1"/>
  </cols>
  <sheetData>
    <row r="1" spans="1:8" ht="15" thickBot="1" x14ac:dyDescent="0.35">
      <c r="A1" t="s">
        <v>435</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D12" t="s">
        <v>434</v>
      </c>
    </row>
    <row r="13" spans="1:8" x14ac:dyDescent="0.3">
      <c r="C13" s="55">
        <v>0.1</v>
      </c>
      <c r="D13" t="s">
        <v>433</v>
      </c>
    </row>
    <row r="21" spans="3:21" ht="15" thickBot="1" x14ac:dyDescent="0.35"/>
    <row r="22" spans="3:21" ht="15" thickBot="1" x14ac:dyDescent="0.35">
      <c r="C22" s="375" t="s">
        <v>4</v>
      </c>
      <c r="D22" s="376"/>
      <c r="E22" s="376"/>
      <c r="F22" s="376"/>
      <c r="G22" s="377"/>
      <c r="I22" s="375" t="s">
        <v>3</v>
      </c>
      <c r="J22" s="376"/>
      <c r="K22" s="376"/>
      <c r="L22" s="376"/>
      <c r="M22" s="377"/>
    </row>
    <row r="24" spans="3:21" x14ac:dyDescent="0.3">
      <c r="C24" t="s">
        <v>432</v>
      </c>
      <c r="D24" t="s">
        <v>87</v>
      </c>
      <c r="E24" t="s">
        <v>431</v>
      </c>
      <c r="F24" t="s">
        <v>239</v>
      </c>
      <c r="I24" s="397" t="s">
        <v>510</v>
      </c>
      <c r="J24" s="397"/>
    </row>
    <row r="25" spans="3:21" x14ac:dyDescent="0.3">
      <c r="C25" t="s">
        <v>430</v>
      </c>
      <c r="D25" t="s">
        <v>423</v>
      </c>
      <c r="E25">
        <v>0.14000000000000001</v>
      </c>
      <c r="F25">
        <v>0.15</v>
      </c>
      <c r="I25" s="185" t="s">
        <v>431</v>
      </c>
      <c r="J25" s="185" t="s">
        <v>239</v>
      </c>
      <c r="K25" s="26"/>
    </row>
    <row r="26" spans="3:21" x14ac:dyDescent="0.3">
      <c r="D26" t="s">
        <v>84</v>
      </c>
      <c r="E26">
        <v>0.7</v>
      </c>
      <c r="F26">
        <v>0.73</v>
      </c>
      <c r="I26" s="158">
        <f>E36</f>
        <v>60</v>
      </c>
      <c r="J26" s="158">
        <f>J27*F31</f>
        <v>65.22167441860465</v>
      </c>
      <c r="K26" t="s">
        <v>627</v>
      </c>
    </row>
    <row r="27" spans="3:21" x14ac:dyDescent="0.3">
      <c r="C27" t="s">
        <v>429</v>
      </c>
      <c r="D27" t="s">
        <v>423</v>
      </c>
      <c r="E27" s="110">
        <v>1</v>
      </c>
      <c r="F27" s="110">
        <v>1.06</v>
      </c>
      <c r="I27" s="158">
        <f>I26/E31</f>
        <v>150</v>
      </c>
      <c r="J27" s="158">
        <f>J28+F27</f>
        <v>163.05418604651163</v>
      </c>
      <c r="K27" t="s">
        <v>652</v>
      </c>
    </row>
    <row r="28" spans="3:21" x14ac:dyDescent="0.3">
      <c r="D28" t="s">
        <v>84</v>
      </c>
      <c r="E28" s="110">
        <v>0.5</v>
      </c>
      <c r="F28" s="110">
        <v>0.53</v>
      </c>
      <c r="I28" s="158">
        <f>I27-E27</f>
        <v>149</v>
      </c>
      <c r="J28" s="158">
        <f>J29*(1-F25)</f>
        <v>161.99418604651163</v>
      </c>
      <c r="K28" t="s">
        <v>763</v>
      </c>
    </row>
    <row r="29" spans="3:21" x14ac:dyDescent="0.3">
      <c r="C29" t="s">
        <v>428</v>
      </c>
      <c r="D29" t="s">
        <v>423</v>
      </c>
      <c r="E29" s="110">
        <v>0.1</v>
      </c>
      <c r="F29" s="110">
        <v>0.11</v>
      </c>
      <c r="I29" s="158">
        <f>I28/(1-E25)</f>
        <v>173.25581395348837</v>
      </c>
      <c r="J29" s="158">
        <f>I29*(1+$C$13)</f>
        <v>190.58139534883722</v>
      </c>
      <c r="K29" t="s">
        <v>765</v>
      </c>
    </row>
    <row r="30" spans="3:21" x14ac:dyDescent="0.3">
      <c r="D30" t="s">
        <v>84</v>
      </c>
      <c r="E30" s="110">
        <v>0.1</v>
      </c>
      <c r="F30" s="110">
        <v>0.11</v>
      </c>
      <c r="I30" s="130">
        <f>D36</f>
        <v>80000</v>
      </c>
      <c r="J30" s="130">
        <f>I30</f>
        <v>80000</v>
      </c>
      <c r="K30" t="s">
        <v>425</v>
      </c>
    </row>
    <row r="31" spans="3:21" x14ac:dyDescent="0.3">
      <c r="C31" t="s">
        <v>427</v>
      </c>
      <c r="D31" t="s">
        <v>423</v>
      </c>
      <c r="E31" s="55">
        <v>0.4</v>
      </c>
      <c r="F31" s="55">
        <v>0.4</v>
      </c>
      <c r="I31" s="14"/>
      <c r="J31" s="14"/>
    </row>
    <row r="32" spans="3:21" x14ac:dyDescent="0.3">
      <c r="D32" t="s">
        <v>84</v>
      </c>
      <c r="E32" s="55">
        <v>0.1</v>
      </c>
      <c r="F32" s="55">
        <v>0.1</v>
      </c>
      <c r="I32" s="159">
        <f>E29*I30</f>
        <v>8000</v>
      </c>
      <c r="J32" s="159">
        <f>F29*J30</f>
        <v>8800</v>
      </c>
      <c r="K32" t="s">
        <v>835</v>
      </c>
      <c r="L32" s="9" t="s">
        <v>834</v>
      </c>
      <c r="M32" s="9"/>
      <c r="N32" s="9"/>
      <c r="O32" s="9"/>
      <c r="P32" s="9"/>
      <c r="Q32" s="9"/>
      <c r="R32" s="9"/>
      <c r="S32" s="9"/>
      <c r="T32" s="9"/>
      <c r="U32" s="9"/>
    </row>
    <row r="33" spans="3:21" x14ac:dyDescent="0.3">
      <c r="I33" s="159">
        <f>(I27-I26)*I30</f>
        <v>7200000</v>
      </c>
      <c r="J33" s="159">
        <f>(J27-J26)*J30</f>
        <v>7826600.9302325584</v>
      </c>
      <c r="K33" t="s">
        <v>833</v>
      </c>
    </row>
    <row r="34" spans="3:21" x14ac:dyDescent="0.3">
      <c r="C34" t="s">
        <v>426</v>
      </c>
      <c r="I34" s="14"/>
      <c r="J34" s="14"/>
    </row>
    <row r="35" spans="3:21" x14ac:dyDescent="0.3">
      <c r="C35" t="s">
        <v>87</v>
      </c>
      <c r="D35" t="s">
        <v>425</v>
      </c>
      <c r="E35" t="s">
        <v>424</v>
      </c>
      <c r="I35" s="397" t="s">
        <v>22</v>
      </c>
      <c r="J35" s="397"/>
    </row>
    <row r="36" spans="3:21" x14ac:dyDescent="0.3">
      <c r="C36" t="s">
        <v>423</v>
      </c>
      <c r="D36" s="90">
        <v>80000</v>
      </c>
      <c r="E36" s="110">
        <v>60</v>
      </c>
      <c r="I36" s="185" t="s">
        <v>431</v>
      </c>
      <c r="J36" s="185" t="s">
        <v>239</v>
      </c>
      <c r="K36" s="26"/>
    </row>
    <row r="37" spans="3:21" x14ac:dyDescent="0.3">
      <c r="C37" t="s">
        <v>84</v>
      </c>
      <c r="D37" s="90">
        <v>400000</v>
      </c>
      <c r="E37" s="110">
        <v>7</v>
      </c>
      <c r="I37" s="158">
        <f>E37</f>
        <v>7</v>
      </c>
      <c r="J37" s="158">
        <f>J38*F32</f>
        <v>6.9334999999999996</v>
      </c>
      <c r="K37" t="s">
        <v>627</v>
      </c>
    </row>
    <row r="38" spans="3:21" x14ac:dyDescent="0.3">
      <c r="I38" s="158">
        <f>I37/E32</f>
        <v>70</v>
      </c>
      <c r="J38" s="158">
        <f>J39+F28</f>
        <v>69.334999999999994</v>
      </c>
      <c r="K38" t="s">
        <v>652</v>
      </c>
    </row>
    <row r="39" spans="3:21" x14ac:dyDescent="0.3">
      <c r="I39" s="158">
        <f>I38-E28</f>
        <v>69.5</v>
      </c>
      <c r="J39" s="158">
        <f>J40*(1-F26)</f>
        <v>68.804999999999993</v>
      </c>
      <c r="K39" t="s">
        <v>763</v>
      </c>
    </row>
    <row r="40" spans="3:21" x14ac:dyDescent="0.3">
      <c r="I40" s="158">
        <f>I39/(1-E26)</f>
        <v>231.66666666666663</v>
      </c>
      <c r="J40" s="158">
        <f>I40*(1+$C$13)</f>
        <v>254.83333333333331</v>
      </c>
      <c r="K40" t="s">
        <v>765</v>
      </c>
    </row>
    <row r="41" spans="3:21" x14ac:dyDescent="0.3">
      <c r="I41" s="130">
        <f>D37</f>
        <v>400000</v>
      </c>
      <c r="J41" s="130">
        <f>I41</f>
        <v>400000</v>
      </c>
      <c r="K41" t="s">
        <v>425</v>
      </c>
    </row>
    <row r="42" spans="3:21" x14ac:dyDescent="0.3">
      <c r="I42" s="14"/>
      <c r="J42" s="14"/>
    </row>
    <row r="43" spans="3:21" x14ac:dyDescent="0.3">
      <c r="I43" s="159">
        <f>E30*I41</f>
        <v>40000</v>
      </c>
      <c r="J43" s="159">
        <f>F30*J41</f>
        <v>44000</v>
      </c>
      <c r="K43" t="s">
        <v>835</v>
      </c>
      <c r="L43" s="9" t="s">
        <v>834</v>
      </c>
      <c r="M43" s="9"/>
      <c r="N43" s="9"/>
      <c r="O43" s="9"/>
      <c r="P43" s="9"/>
      <c r="Q43" s="9"/>
      <c r="R43" s="9"/>
      <c r="S43" s="9"/>
      <c r="T43" s="9"/>
      <c r="U43" s="9"/>
    </row>
    <row r="44" spans="3:21" x14ac:dyDescent="0.3">
      <c r="I44" s="157">
        <f>(I38-I37)*I41</f>
        <v>25200000</v>
      </c>
      <c r="J44" s="157">
        <f>(J38-J37)*J41</f>
        <v>24960599.999999996</v>
      </c>
      <c r="K44" s="26" t="s">
        <v>833</v>
      </c>
    </row>
    <row r="45" spans="3:21" x14ac:dyDescent="0.3">
      <c r="I45" s="14"/>
      <c r="J45" s="14"/>
    </row>
    <row r="46" spans="3:21" x14ac:dyDescent="0.3">
      <c r="I46" s="159">
        <f>SUM(I32:I33,I43:I44)</f>
        <v>32448000</v>
      </c>
      <c r="J46" s="159">
        <f>SUM(J32:J33,J43:J44)</f>
        <v>32840000.930232555</v>
      </c>
      <c r="K46" t="s">
        <v>832</v>
      </c>
    </row>
    <row r="48" spans="3:21" x14ac:dyDescent="0.3">
      <c r="J48" s="5">
        <f>J46-I46</f>
        <v>392000.93023255467</v>
      </c>
      <c r="K48" t="s">
        <v>831</v>
      </c>
    </row>
    <row r="49" spans="10:11" x14ac:dyDescent="0.3">
      <c r="J49" s="57">
        <f>J46/I46-1</f>
        <v>1.2080896518508188E-2</v>
      </c>
      <c r="K49" t="s">
        <v>830</v>
      </c>
    </row>
  </sheetData>
  <mergeCells count="5">
    <mergeCell ref="C10:F10"/>
    <mergeCell ref="C22:G22"/>
    <mergeCell ref="I22:M22"/>
    <mergeCell ref="I24:J24"/>
    <mergeCell ref="I35:J35"/>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3C0CD-1E3C-4C45-B130-FCC95141CD8B}">
  <sheetPr>
    <tabColor theme="5" tint="0.39997558519241921"/>
  </sheetPr>
  <dimension ref="A1:M22"/>
  <sheetViews>
    <sheetView workbookViewId="0">
      <selection activeCell="B5" sqref="B5"/>
    </sheetView>
  </sheetViews>
  <sheetFormatPr defaultRowHeight="14.4" x14ac:dyDescent="0.3"/>
  <cols>
    <col min="3" max="6" width="12.5546875" customWidth="1"/>
    <col min="7" max="7" width="13.33203125" customWidth="1"/>
    <col min="9" max="13" width="13.109375" customWidth="1"/>
  </cols>
  <sheetData>
    <row r="1" spans="1:13" ht="15" thickBot="1" x14ac:dyDescent="0.35">
      <c r="A1" t="s">
        <v>447</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8" spans="1:13" ht="15" thickBot="1" x14ac:dyDescent="0.35"/>
    <row r="9" spans="1:13" ht="15" thickBot="1" x14ac:dyDescent="0.35">
      <c r="C9" s="375" t="s">
        <v>8</v>
      </c>
      <c r="D9" s="376"/>
      <c r="E9" s="376"/>
      <c r="F9" s="377"/>
    </row>
    <row r="11" spans="1:13" ht="15" thickBot="1" x14ac:dyDescent="0.35"/>
    <row r="12" spans="1:13" ht="15" thickBot="1" x14ac:dyDescent="0.35">
      <c r="C12" s="375" t="s">
        <v>4</v>
      </c>
      <c r="D12" s="376"/>
      <c r="E12" s="376"/>
      <c r="F12" s="376"/>
      <c r="G12" s="377"/>
      <c r="I12" s="375" t="s">
        <v>3</v>
      </c>
      <c r="J12" s="376"/>
      <c r="K12" s="376"/>
      <c r="L12" s="376"/>
      <c r="M12" s="377"/>
    </row>
    <row r="13" spans="1:13" x14ac:dyDescent="0.3">
      <c r="C13" s="112"/>
      <c r="D13" s="112"/>
      <c r="E13" s="112"/>
      <c r="F13" s="112"/>
      <c r="G13" s="112"/>
      <c r="I13" s="112"/>
      <c r="J13" s="112"/>
      <c r="K13" s="112"/>
      <c r="L13" s="112"/>
      <c r="M13" s="112"/>
    </row>
    <row r="15" spans="1:13" ht="28.8" x14ac:dyDescent="0.3">
      <c r="C15" s="3" t="s">
        <v>446</v>
      </c>
      <c r="D15" s="3" t="s">
        <v>445</v>
      </c>
      <c r="E15" s="3" t="s">
        <v>444</v>
      </c>
      <c r="F15" s="3" t="s">
        <v>443</v>
      </c>
      <c r="G15" s="3" t="s">
        <v>442</v>
      </c>
    </row>
    <row r="16" spans="1:13" x14ac:dyDescent="0.3">
      <c r="C16" t="s">
        <v>441</v>
      </c>
      <c r="D16" s="55">
        <v>0.45</v>
      </c>
      <c r="E16" s="55">
        <v>0.4</v>
      </c>
      <c r="F16" s="111">
        <v>95</v>
      </c>
      <c r="G16" s="111">
        <v>105</v>
      </c>
    </row>
    <row r="17" spans="3:7" x14ac:dyDescent="0.3">
      <c r="C17" t="s">
        <v>440</v>
      </c>
      <c r="D17" s="55">
        <v>0.22</v>
      </c>
      <c r="E17" s="55">
        <v>0.18</v>
      </c>
      <c r="F17" s="111">
        <v>145</v>
      </c>
      <c r="G17" s="111">
        <v>140</v>
      </c>
    </row>
    <row r="18" spans="3:7" x14ac:dyDescent="0.3">
      <c r="C18" t="s">
        <v>439</v>
      </c>
      <c r="D18" s="55">
        <v>0.08</v>
      </c>
      <c r="E18" s="55">
        <v>0</v>
      </c>
      <c r="F18" s="111">
        <v>1750</v>
      </c>
      <c r="G18" s="111" t="s">
        <v>46</v>
      </c>
    </row>
    <row r="19" spans="3:7" x14ac:dyDescent="0.3">
      <c r="C19" t="s">
        <v>438</v>
      </c>
      <c r="D19" s="55">
        <v>0.2</v>
      </c>
      <c r="E19" s="55">
        <v>0.25</v>
      </c>
      <c r="F19" s="111">
        <v>230</v>
      </c>
      <c r="G19" s="111">
        <v>265</v>
      </c>
    </row>
    <row r="20" spans="3:7" x14ac:dyDescent="0.3">
      <c r="C20" t="s">
        <v>437</v>
      </c>
      <c r="D20" s="55">
        <v>0</v>
      </c>
      <c r="E20" s="55">
        <v>0.12</v>
      </c>
      <c r="F20" s="111" t="s">
        <v>46</v>
      </c>
      <c r="G20" s="111">
        <v>1900</v>
      </c>
    </row>
    <row r="21" spans="3:7" x14ac:dyDescent="0.3">
      <c r="C21" t="s">
        <v>436</v>
      </c>
      <c r="D21" s="55">
        <v>0.05</v>
      </c>
      <c r="E21" s="55">
        <v>0.05</v>
      </c>
      <c r="F21" s="111">
        <v>3500</v>
      </c>
      <c r="G21" s="111">
        <v>2800</v>
      </c>
    </row>
    <row r="22" spans="3:7" x14ac:dyDescent="0.3">
      <c r="D22" s="55"/>
      <c r="E22" s="55"/>
      <c r="F22" s="111"/>
      <c r="G22" s="111"/>
    </row>
  </sheetData>
  <mergeCells count="3">
    <mergeCell ref="C9:F9"/>
    <mergeCell ref="C12:G12"/>
    <mergeCell ref="I12:M12"/>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72125-F73D-4F2F-A4A2-5B060893466D}">
  <sheetPr>
    <tabColor theme="9" tint="0.59999389629810485"/>
  </sheetPr>
  <dimension ref="A1:AB59"/>
  <sheetViews>
    <sheetView workbookViewId="0">
      <selection activeCell="I48" sqref="I48"/>
    </sheetView>
  </sheetViews>
  <sheetFormatPr defaultRowHeight="14.4" x14ac:dyDescent="0.3"/>
  <cols>
    <col min="3" max="6" width="12.5546875" customWidth="1"/>
    <col min="7" max="7" width="13.33203125" customWidth="1"/>
    <col min="9" max="13" width="13.109375" customWidth="1"/>
  </cols>
  <sheetData>
    <row r="1" spans="1:13" ht="15" thickBot="1" x14ac:dyDescent="0.35">
      <c r="A1" t="s">
        <v>447</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6" spans="1:13" x14ac:dyDescent="0.3">
      <c r="G6" s="192" t="s">
        <v>848</v>
      </c>
      <c r="H6" s="191"/>
    </row>
    <row r="8" spans="1:13" ht="15" thickBot="1" x14ac:dyDescent="0.35"/>
    <row r="9" spans="1:13" ht="15" thickBot="1" x14ac:dyDescent="0.35">
      <c r="C9" s="375" t="s">
        <v>8</v>
      </c>
      <c r="D9" s="376"/>
      <c r="E9" s="376"/>
      <c r="F9" s="377"/>
    </row>
    <row r="11" spans="1:13" ht="15" thickBot="1" x14ac:dyDescent="0.35"/>
    <row r="12" spans="1:13" ht="15" thickBot="1" x14ac:dyDescent="0.35">
      <c r="C12" s="375" t="s">
        <v>4</v>
      </c>
      <c r="D12" s="376"/>
      <c r="E12" s="376"/>
      <c r="F12" s="376"/>
      <c r="G12" s="377"/>
      <c r="I12" s="375" t="s">
        <v>3</v>
      </c>
      <c r="J12" s="376"/>
      <c r="K12" s="376"/>
      <c r="L12" s="376"/>
      <c r="M12" s="377"/>
    </row>
    <row r="13" spans="1:13" x14ac:dyDescent="0.3">
      <c r="C13" s="112"/>
      <c r="D13" s="112"/>
      <c r="E13" s="112"/>
      <c r="F13" s="112"/>
      <c r="G13" s="112"/>
      <c r="I13" s="112"/>
      <c r="J13" s="112"/>
      <c r="K13" s="112"/>
      <c r="L13" s="112"/>
      <c r="M13" s="112"/>
    </row>
    <row r="15" spans="1:13" ht="28.8" x14ac:dyDescent="0.3">
      <c r="C15" s="3" t="s">
        <v>446</v>
      </c>
      <c r="D15" s="3" t="s">
        <v>445</v>
      </c>
      <c r="E15" s="3" t="s">
        <v>444</v>
      </c>
      <c r="F15" s="3" t="s">
        <v>443</v>
      </c>
      <c r="G15" s="3" t="s">
        <v>442</v>
      </c>
      <c r="I15" s="3" t="s">
        <v>446</v>
      </c>
      <c r="J15" s="3" t="s">
        <v>445</v>
      </c>
      <c r="K15" s="3" t="s">
        <v>444</v>
      </c>
      <c r="L15" s="3" t="s">
        <v>443</v>
      </c>
      <c r="M15" s="3" t="s">
        <v>442</v>
      </c>
    </row>
    <row r="16" spans="1:13" x14ac:dyDescent="0.3">
      <c r="C16" t="s">
        <v>441</v>
      </c>
      <c r="D16" s="55">
        <v>0.45</v>
      </c>
      <c r="E16" s="55">
        <v>0.4</v>
      </c>
      <c r="F16" s="111">
        <v>95</v>
      </c>
      <c r="G16" s="111">
        <v>105</v>
      </c>
      <c r="I16" t="s">
        <v>441</v>
      </c>
      <c r="J16" s="55">
        <f t="shared" ref="J16:M17" si="0">D16</f>
        <v>0.45</v>
      </c>
      <c r="K16" s="55">
        <f t="shared" si="0"/>
        <v>0.4</v>
      </c>
      <c r="L16" s="111">
        <f t="shared" si="0"/>
        <v>95</v>
      </c>
      <c r="M16" s="111">
        <f t="shared" si="0"/>
        <v>105</v>
      </c>
    </row>
    <row r="17" spans="3:28" x14ac:dyDescent="0.3">
      <c r="C17" t="s">
        <v>440</v>
      </c>
      <c r="D17" s="55">
        <v>0.22</v>
      </c>
      <c r="E17" s="55">
        <v>0.18</v>
      </c>
      <c r="F17" s="111">
        <v>145</v>
      </c>
      <c r="G17" s="111">
        <v>140</v>
      </c>
      <c r="I17" t="s">
        <v>440</v>
      </c>
      <c r="J17" s="55">
        <f t="shared" si="0"/>
        <v>0.22</v>
      </c>
      <c r="K17" s="55">
        <f t="shared" si="0"/>
        <v>0.18</v>
      </c>
      <c r="L17" s="111">
        <f t="shared" si="0"/>
        <v>145</v>
      </c>
      <c r="M17" s="111">
        <f t="shared" si="0"/>
        <v>140</v>
      </c>
    </row>
    <row r="18" spans="3:28" x14ac:dyDescent="0.3">
      <c r="C18" t="s">
        <v>439</v>
      </c>
      <c r="D18" s="55">
        <v>0.08</v>
      </c>
      <c r="E18" s="55">
        <v>0</v>
      </c>
      <c r="F18" s="111">
        <v>1750</v>
      </c>
      <c r="G18" s="111" t="s">
        <v>46</v>
      </c>
      <c r="I18" t="s">
        <v>439</v>
      </c>
      <c r="J18" s="190">
        <v>0</v>
      </c>
      <c r="K18" s="190">
        <v>0</v>
      </c>
      <c r="L18" s="189">
        <v>0</v>
      </c>
      <c r="M18" s="189">
        <v>0</v>
      </c>
      <c r="N18" s="9" t="s">
        <v>847</v>
      </c>
      <c r="O18" s="9"/>
      <c r="P18" s="9"/>
      <c r="Q18" s="9"/>
      <c r="R18" s="9"/>
      <c r="S18" s="9"/>
    </row>
    <row r="19" spans="3:28" x14ac:dyDescent="0.3">
      <c r="C19" t="s">
        <v>438</v>
      </c>
      <c r="D19" s="55">
        <v>0.2</v>
      </c>
      <c r="E19" s="55">
        <v>0.25</v>
      </c>
      <c r="F19" s="111">
        <v>230</v>
      </c>
      <c r="G19" s="111">
        <v>265</v>
      </c>
      <c r="I19" t="s">
        <v>438</v>
      </c>
      <c r="J19" s="55">
        <f>D19</f>
        <v>0.2</v>
      </c>
      <c r="K19" s="55">
        <f>E19</f>
        <v>0.25</v>
      </c>
      <c r="L19" s="111">
        <f>F19</f>
        <v>230</v>
      </c>
      <c r="M19" s="111">
        <f>G19</f>
        <v>265</v>
      </c>
    </row>
    <row r="20" spans="3:28" x14ac:dyDescent="0.3">
      <c r="C20" t="s">
        <v>437</v>
      </c>
      <c r="D20" s="55">
        <v>0</v>
      </c>
      <c r="E20" s="55">
        <v>0.12</v>
      </c>
      <c r="F20" s="111" t="s">
        <v>46</v>
      </c>
      <c r="G20" s="111">
        <v>1900</v>
      </c>
      <c r="I20" t="s">
        <v>437</v>
      </c>
      <c r="J20" s="190">
        <v>0</v>
      </c>
      <c r="K20" s="190">
        <v>0</v>
      </c>
      <c r="L20" s="189">
        <v>0</v>
      </c>
      <c r="M20" s="189">
        <v>0</v>
      </c>
      <c r="N20" s="9" t="s">
        <v>847</v>
      </c>
      <c r="O20" s="9"/>
      <c r="P20" s="9"/>
      <c r="Q20" s="9"/>
      <c r="R20" s="9"/>
      <c r="S20" s="9"/>
    </row>
    <row r="21" spans="3:28" x14ac:dyDescent="0.3">
      <c r="C21" t="s">
        <v>436</v>
      </c>
      <c r="D21" s="55">
        <v>0.05</v>
      </c>
      <c r="E21" s="55">
        <v>0.05</v>
      </c>
      <c r="F21" s="111">
        <v>3500</v>
      </c>
      <c r="G21" s="111">
        <v>2800</v>
      </c>
      <c r="I21" t="s">
        <v>436</v>
      </c>
      <c r="J21" s="55">
        <f>D21</f>
        <v>0.05</v>
      </c>
      <c r="K21" s="55">
        <f>E21</f>
        <v>0.05</v>
      </c>
      <c r="L21" s="111">
        <f>F21</f>
        <v>3500</v>
      </c>
      <c r="M21" s="111">
        <f>G21</f>
        <v>2800</v>
      </c>
    </row>
    <row r="22" spans="3:28" x14ac:dyDescent="0.3">
      <c r="D22" s="55"/>
      <c r="E22" s="55"/>
      <c r="F22" s="111"/>
      <c r="G22" s="111"/>
      <c r="I22" t="s">
        <v>846</v>
      </c>
      <c r="J22" s="55">
        <f>D18+D20</f>
        <v>0.08</v>
      </c>
      <c r="K22" s="55">
        <f>E20+E18</f>
        <v>0.12</v>
      </c>
      <c r="L22" s="111">
        <f>F18</f>
        <v>1750</v>
      </c>
      <c r="M22" s="111">
        <f>G20</f>
        <v>1900</v>
      </c>
      <c r="N22" s="9" t="s">
        <v>845</v>
      </c>
      <c r="O22" s="9"/>
      <c r="P22" s="9"/>
      <c r="Q22" s="9"/>
      <c r="R22" s="9"/>
      <c r="S22" s="9"/>
      <c r="T22" s="9"/>
      <c r="U22" s="9"/>
      <c r="V22" s="9"/>
      <c r="W22" s="9"/>
      <c r="X22" s="9"/>
      <c r="Y22" s="9"/>
      <c r="Z22" s="9"/>
      <c r="AA22" s="9"/>
      <c r="AB22" s="9"/>
    </row>
    <row r="24" spans="3:28" x14ac:dyDescent="0.3">
      <c r="I24" s="99" t="s">
        <v>676</v>
      </c>
      <c r="J24" s="188" t="s">
        <v>844</v>
      </c>
      <c r="K24" s="187"/>
      <c r="L24" s="187"/>
      <c r="M24" s="187"/>
      <c r="N24" s="187"/>
      <c r="O24" s="187"/>
      <c r="P24" s="187"/>
      <c r="Q24" s="187"/>
      <c r="R24" s="187"/>
      <c r="S24" s="187"/>
    </row>
    <row r="26" spans="3:28" x14ac:dyDescent="0.3">
      <c r="I26" t="s">
        <v>512</v>
      </c>
      <c r="J26" t="s">
        <v>511</v>
      </c>
    </row>
    <row r="27" spans="3:28" x14ac:dyDescent="0.3">
      <c r="I27" t="s">
        <v>678</v>
      </c>
      <c r="J27" t="s">
        <v>678</v>
      </c>
      <c r="K27" s="9" t="s">
        <v>843</v>
      </c>
      <c r="L27" s="9"/>
    </row>
    <row r="28" spans="3:28" x14ac:dyDescent="0.3">
      <c r="I28" s="109">
        <f>SUMPRODUCT(L16:L22,J16:J22)</f>
        <v>435.65</v>
      </c>
      <c r="J28" s="109">
        <f>SUMPRODUCT(M16:M22,J16:J22)</f>
        <v>423.05</v>
      </c>
    </row>
    <row r="29" spans="3:28" x14ac:dyDescent="0.3">
      <c r="J29" s="146">
        <f>J28/I28-1</f>
        <v>-2.8922300011476998E-2</v>
      </c>
      <c r="K29" s="9" t="s">
        <v>842</v>
      </c>
      <c r="L29" s="9"/>
      <c r="M29" s="9"/>
      <c r="N29" s="9"/>
      <c r="O29" s="9"/>
      <c r="P29" s="9"/>
      <c r="Q29" s="9"/>
    </row>
    <row r="34" spans="9:20" x14ac:dyDescent="0.3">
      <c r="I34" s="398" t="s">
        <v>841</v>
      </c>
      <c r="J34" s="399"/>
      <c r="K34" s="399"/>
      <c r="L34" s="399"/>
      <c r="M34" s="399"/>
      <c r="N34" s="399"/>
      <c r="O34" s="399"/>
      <c r="P34" s="399"/>
      <c r="Q34" s="399"/>
      <c r="R34" s="400"/>
    </row>
    <row r="35" spans="9:20" x14ac:dyDescent="0.3">
      <c r="I35" s="401"/>
      <c r="J35" s="402"/>
      <c r="K35" s="402"/>
      <c r="L35" s="402"/>
      <c r="M35" s="402"/>
      <c r="N35" s="402"/>
      <c r="O35" s="402"/>
      <c r="P35" s="402"/>
      <c r="Q35" s="402"/>
      <c r="R35" s="403"/>
    </row>
    <row r="36" spans="9:20" x14ac:dyDescent="0.3">
      <c r="I36" s="404"/>
      <c r="J36" s="405"/>
      <c r="K36" s="405"/>
      <c r="L36" s="405"/>
      <c r="M36" s="405"/>
      <c r="N36" s="405"/>
      <c r="O36" s="405"/>
      <c r="P36" s="405"/>
      <c r="Q36" s="405"/>
      <c r="R36" s="406"/>
    </row>
    <row r="38" spans="9:20" x14ac:dyDescent="0.3">
      <c r="I38" s="99" t="s">
        <v>840</v>
      </c>
      <c r="J38" s="188" t="s">
        <v>839</v>
      </c>
      <c r="K38" s="187"/>
      <c r="L38" s="187"/>
      <c r="M38" s="187"/>
      <c r="N38" s="187"/>
      <c r="O38" s="187"/>
      <c r="P38" s="187"/>
      <c r="Q38" s="187"/>
      <c r="R38" s="187"/>
      <c r="S38" s="187"/>
      <c r="T38" s="187"/>
    </row>
    <row r="40" spans="9:20" x14ac:dyDescent="0.3">
      <c r="I40" t="s">
        <v>512</v>
      </c>
      <c r="J40" t="s">
        <v>511</v>
      </c>
    </row>
    <row r="41" spans="9:20" x14ac:dyDescent="0.3">
      <c r="I41" t="s">
        <v>681</v>
      </c>
      <c r="J41" t="s">
        <v>681</v>
      </c>
    </row>
    <row r="42" spans="9:20" x14ac:dyDescent="0.3">
      <c r="I42" s="109">
        <f>SUMPRODUCT(J16:J22,L16:L22)</f>
        <v>435.65</v>
      </c>
      <c r="J42" s="109">
        <f>SUMPRODUCT(K16:K22,L16:L22)</f>
        <v>506.6</v>
      </c>
      <c r="K42" s="9" t="s">
        <v>838</v>
      </c>
      <c r="L42" s="9"/>
      <c r="M42" s="9"/>
      <c r="N42" s="9"/>
      <c r="O42" s="9"/>
      <c r="P42" s="9"/>
      <c r="Q42" s="9"/>
    </row>
    <row r="43" spans="9:20" x14ac:dyDescent="0.3">
      <c r="J43" s="146">
        <f>J42/I42-1</f>
        <v>0.16286009411224622</v>
      </c>
      <c r="K43" s="9" t="s">
        <v>679</v>
      </c>
      <c r="L43" s="9"/>
    </row>
    <row r="45" spans="9:20" x14ac:dyDescent="0.3">
      <c r="I45" s="186" t="s">
        <v>837</v>
      </c>
      <c r="J45" s="57"/>
    </row>
    <row r="46" spans="9:20" x14ac:dyDescent="0.3">
      <c r="I46" s="57"/>
      <c r="J46" s="57"/>
    </row>
    <row r="47" spans="9:20" x14ac:dyDescent="0.3">
      <c r="I47" t="s">
        <v>512</v>
      </c>
      <c r="J47" t="s">
        <v>511</v>
      </c>
    </row>
    <row r="48" spans="9:20" x14ac:dyDescent="0.3">
      <c r="I48" t="s">
        <v>678</v>
      </c>
      <c r="J48" t="s">
        <v>678</v>
      </c>
      <c r="K48" s="9" t="s">
        <v>677</v>
      </c>
      <c r="L48" s="9"/>
      <c r="M48" s="9"/>
      <c r="N48" s="9"/>
      <c r="O48" s="9"/>
      <c r="P48" s="9"/>
    </row>
    <row r="49" spans="9:14" x14ac:dyDescent="0.3">
      <c r="I49" s="109">
        <f>SUMPRODUCT(L16:L22,J16:J22)</f>
        <v>435.65</v>
      </c>
      <c r="J49" s="109">
        <f>SUMPRODUCT(M16:M22,K16:K22)</f>
        <v>501.45</v>
      </c>
    </row>
    <row r="50" spans="9:14" x14ac:dyDescent="0.3">
      <c r="J50" s="146">
        <f>J49/I49-1</f>
        <v>0.15103867783771374</v>
      </c>
      <c r="K50" s="9" t="s">
        <v>836</v>
      </c>
      <c r="L50" s="9"/>
    </row>
    <row r="53" spans="9:14" x14ac:dyDescent="0.3">
      <c r="I53" s="84" t="s">
        <v>674</v>
      </c>
      <c r="J53" s="146">
        <f>(1+J50)/((1+J29)*(1+J43))-1</f>
        <v>1.9315126607004851E-2</v>
      </c>
    </row>
    <row r="55" spans="9:14" x14ac:dyDescent="0.3">
      <c r="J55" s="84" t="s">
        <v>676</v>
      </c>
      <c r="K55" s="12">
        <f>J29</f>
        <v>-2.8922300011476998E-2</v>
      </c>
    </row>
    <row r="56" spans="9:14" x14ac:dyDescent="0.3">
      <c r="J56" s="84" t="s">
        <v>675</v>
      </c>
      <c r="K56" s="12">
        <f>J43</f>
        <v>0.16286009411224622</v>
      </c>
    </row>
    <row r="57" spans="9:14" ht="15" thickBot="1" x14ac:dyDescent="0.35">
      <c r="J57" s="84" t="s">
        <v>674</v>
      </c>
      <c r="K57" s="12">
        <f>J53</f>
        <v>1.9315126607004851E-2</v>
      </c>
      <c r="M57" t="s">
        <v>10</v>
      </c>
    </row>
    <row r="58" spans="9:14" ht="15.6" thickTop="1" thickBot="1" x14ac:dyDescent="0.35">
      <c r="J58" s="84" t="s">
        <v>247</v>
      </c>
      <c r="K58" s="12">
        <f>SUMPRODUCT(K16:K22,M16:M22)/SUMPRODUCT(L16:L22,J16:J22)-1</f>
        <v>0.15103867783771374</v>
      </c>
      <c r="M58" s="57">
        <f>(1+K55)*(1+K56)*(1+K57)-1</f>
        <v>0.15103867783771374</v>
      </c>
      <c r="N58" s="7" t="b">
        <f>M58=K58</f>
        <v>1</v>
      </c>
    </row>
    <row r="59" spans="9:14" ht="15" thickTop="1" x14ac:dyDescent="0.3"/>
  </sheetData>
  <mergeCells count="4">
    <mergeCell ref="C9:F9"/>
    <mergeCell ref="C12:G12"/>
    <mergeCell ref="I12:M12"/>
    <mergeCell ref="I34:R36"/>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61896-41E2-4B84-9DB5-85254EA882F6}">
  <sheetPr>
    <tabColor theme="5" tint="0.39997558519241921"/>
  </sheetPr>
  <dimension ref="A1:M41"/>
  <sheetViews>
    <sheetView workbookViewId="0">
      <selection activeCell="B5" sqref="B5"/>
    </sheetView>
  </sheetViews>
  <sheetFormatPr defaultRowHeight="14.4" x14ac:dyDescent="0.3"/>
  <cols>
    <col min="3" max="3" width="14.88671875" customWidth="1"/>
    <col min="4" max="8" width="14.44140625" customWidth="1"/>
    <col min="9" max="16" width="14.88671875" customWidth="1"/>
  </cols>
  <sheetData>
    <row r="1" spans="1:9" ht="15" thickBot="1" x14ac:dyDescent="0.35">
      <c r="A1" t="s">
        <v>487</v>
      </c>
      <c r="H1" s="11" t="s">
        <v>13</v>
      </c>
      <c r="I1" s="10"/>
    </row>
    <row r="2" spans="1:9" x14ac:dyDescent="0.3">
      <c r="H2" s="9" t="s">
        <v>12</v>
      </c>
      <c r="I2" s="9"/>
    </row>
    <row r="3" spans="1:9" ht="15" thickBot="1" x14ac:dyDescent="0.35">
      <c r="H3" s="8" t="s">
        <v>11</v>
      </c>
      <c r="I3" s="8"/>
    </row>
    <row r="4" spans="1:9" ht="15.6" thickTop="1" thickBot="1" x14ac:dyDescent="0.35">
      <c r="H4" s="7" t="s">
        <v>10</v>
      </c>
      <c r="I4" s="7"/>
    </row>
    <row r="5" spans="1:9" ht="15" thickTop="1" x14ac:dyDescent="0.3">
      <c r="H5" s="6" t="s">
        <v>9</v>
      </c>
      <c r="I5" s="5"/>
    </row>
    <row r="6" spans="1:9" x14ac:dyDescent="0.3">
      <c r="H6" s="120" t="s">
        <v>486</v>
      </c>
      <c r="I6" s="120"/>
    </row>
    <row r="9" spans="1:9" ht="15" thickBot="1" x14ac:dyDescent="0.35"/>
    <row r="10" spans="1:9" ht="15" thickBot="1" x14ac:dyDescent="0.35">
      <c r="C10" s="375" t="s">
        <v>8</v>
      </c>
      <c r="D10" s="376"/>
      <c r="E10" s="376"/>
      <c r="F10" s="376"/>
      <c r="G10" s="377"/>
    </row>
    <row r="12" spans="1:9" x14ac:dyDescent="0.3">
      <c r="D12" t="s">
        <v>485</v>
      </c>
    </row>
    <row r="13" spans="1:9" x14ac:dyDescent="0.3">
      <c r="D13" t="s">
        <v>484</v>
      </c>
    </row>
    <row r="14" spans="1:9" x14ac:dyDescent="0.3">
      <c r="D14" t="s">
        <v>483</v>
      </c>
    </row>
    <row r="16" spans="1:9" x14ac:dyDescent="0.3">
      <c r="C16" t="s">
        <v>482</v>
      </c>
      <c r="G16" t="s">
        <v>481</v>
      </c>
    </row>
    <row r="17" spans="3:13" x14ac:dyDescent="0.3">
      <c r="C17" s="4">
        <v>731</v>
      </c>
      <c r="D17" t="s">
        <v>480</v>
      </c>
      <c r="G17" s="14" t="s">
        <v>479</v>
      </c>
      <c r="H17" s="14" t="s">
        <v>478</v>
      </c>
      <c r="I17" t="s">
        <v>477</v>
      </c>
    </row>
    <row r="18" spans="3:13" x14ac:dyDescent="0.3">
      <c r="C18" s="56">
        <v>22.9</v>
      </c>
      <c r="D18" t="s">
        <v>476</v>
      </c>
      <c r="G18" s="119" t="s">
        <v>475</v>
      </c>
      <c r="H18" s="14" t="s">
        <v>474</v>
      </c>
      <c r="I18" t="s">
        <v>473</v>
      </c>
    </row>
    <row r="19" spans="3:13" x14ac:dyDescent="0.3">
      <c r="C19" s="98">
        <v>0.33</v>
      </c>
      <c r="D19" t="s">
        <v>216</v>
      </c>
      <c r="G19" s="2">
        <v>0.1</v>
      </c>
      <c r="H19" s="2">
        <v>0.1</v>
      </c>
      <c r="I19" t="s">
        <v>41</v>
      </c>
    </row>
    <row r="20" spans="3:13" x14ac:dyDescent="0.3">
      <c r="C20" s="56">
        <v>99.65</v>
      </c>
      <c r="D20" t="s">
        <v>472</v>
      </c>
      <c r="G20" s="119" t="s">
        <v>471</v>
      </c>
      <c r="H20" s="14" t="s">
        <v>470</v>
      </c>
      <c r="I20" t="s">
        <v>469</v>
      </c>
    </row>
    <row r="21" spans="3:13" x14ac:dyDescent="0.3">
      <c r="C21" s="4">
        <v>0</v>
      </c>
      <c r="D21" t="s">
        <v>468</v>
      </c>
      <c r="G21" s="1">
        <v>75</v>
      </c>
      <c r="H21" s="119" t="s">
        <v>467</v>
      </c>
      <c r="I21" t="s">
        <v>466</v>
      </c>
    </row>
    <row r="22" spans="3:13" x14ac:dyDescent="0.3">
      <c r="C22" s="4">
        <v>0</v>
      </c>
      <c r="D22" t="s">
        <v>465</v>
      </c>
      <c r="G22" s="14" t="s">
        <v>464</v>
      </c>
      <c r="H22" s="14" t="s">
        <v>463</v>
      </c>
      <c r="I22" t="s">
        <v>462</v>
      </c>
    </row>
    <row r="23" spans="3:13" ht="15" thickBot="1" x14ac:dyDescent="0.35"/>
    <row r="24" spans="3:13" ht="15" thickBot="1" x14ac:dyDescent="0.35">
      <c r="C24" s="375" t="s">
        <v>4</v>
      </c>
      <c r="D24" s="376"/>
      <c r="E24" s="376"/>
      <c r="F24" s="376"/>
      <c r="G24" s="376"/>
      <c r="H24" s="376"/>
      <c r="I24" s="376"/>
      <c r="J24" s="376"/>
      <c r="K24" s="376"/>
      <c r="L24" s="376"/>
      <c r="M24" s="377"/>
    </row>
    <row r="26" spans="3:13" x14ac:dyDescent="0.3">
      <c r="C26" s="393" t="s">
        <v>461</v>
      </c>
      <c r="D26" s="407"/>
      <c r="E26" s="407"/>
      <c r="F26" s="407"/>
      <c r="G26" s="407"/>
      <c r="H26" s="407"/>
      <c r="I26" s="387"/>
    </row>
    <row r="27" spans="3:13" x14ac:dyDescent="0.3">
      <c r="C27" s="73"/>
      <c r="D27" s="393" t="s">
        <v>460</v>
      </c>
      <c r="E27" s="387"/>
      <c r="F27" s="393" t="s">
        <v>161</v>
      </c>
      <c r="G27" s="387"/>
      <c r="H27" s="393" t="s">
        <v>459</v>
      </c>
      <c r="I27" s="387"/>
    </row>
    <row r="28" spans="3:13" x14ac:dyDescent="0.3">
      <c r="C28" s="73" t="s">
        <v>458</v>
      </c>
      <c r="D28" s="59" t="s">
        <v>457</v>
      </c>
      <c r="E28" s="59" t="s">
        <v>151</v>
      </c>
      <c r="F28" s="59" t="s">
        <v>457</v>
      </c>
      <c r="G28" s="59" t="s">
        <v>151</v>
      </c>
      <c r="H28" s="67" t="s">
        <v>457</v>
      </c>
      <c r="I28" s="59" t="s">
        <v>151</v>
      </c>
    </row>
    <row r="29" spans="3:13" x14ac:dyDescent="0.3">
      <c r="C29" s="117">
        <v>0</v>
      </c>
      <c r="D29" s="80">
        <v>0</v>
      </c>
      <c r="E29" s="115">
        <v>0.15</v>
      </c>
      <c r="F29" s="80">
        <v>0</v>
      </c>
      <c r="G29" s="115">
        <v>0.55000000000000004</v>
      </c>
      <c r="H29" s="116">
        <v>0</v>
      </c>
      <c r="I29" s="115">
        <v>5.0000000000000001E-3</v>
      </c>
    </row>
    <row r="30" spans="3:13" x14ac:dyDescent="0.3">
      <c r="C30" s="72" t="s">
        <v>456</v>
      </c>
      <c r="D30" s="20">
        <v>180</v>
      </c>
      <c r="E30" s="114">
        <v>0.2</v>
      </c>
      <c r="F30" s="20">
        <v>180</v>
      </c>
      <c r="G30" s="114">
        <v>0.15</v>
      </c>
      <c r="H30" s="1">
        <v>180</v>
      </c>
      <c r="I30" s="114">
        <v>5.5E-2</v>
      </c>
    </row>
    <row r="31" spans="3:13" x14ac:dyDescent="0.3">
      <c r="C31" s="72" t="s">
        <v>455</v>
      </c>
      <c r="D31" s="20">
        <v>360</v>
      </c>
      <c r="E31" s="114">
        <v>0.25</v>
      </c>
      <c r="F31" s="20">
        <v>360</v>
      </c>
      <c r="G31" s="114">
        <v>0.15</v>
      </c>
      <c r="H31" s="1">
        <v>360</v>
      </c>
      <c r="I31" s="114">
        <v>0.2</v>
      </c>
    </row>
    <row r="32" spans="3:13" x14ac:dyDescent="0.3">
      <c r="C32" s="72" t="s">
        <v>454</v>
      </c>
      <c r="D32" s="20">
        <v>720</v>
      </c>
      <c r="E32" s="114">
        <v>0.2</v>
      </c>
      <c r="F32" s="20">
        <v>720</v>
      </c>
      <c r="G32" s="114">
        <v>0.08</v>
      </c>
      <c r="H32" s="1">
        <v>720</v>
      </c>
      <c r="I32" s="114">
        <v>0.21</v>
      </c>
    </row>
    <row r="33" spans="3:13" x14ac:dyDescent="0.3">
      <c r="C33" s="72" t="s">
        <v>453</v>
      </c>
      <c r="D33" s="20">
        <v>1440</v>
      </c>
      <c r="E33" s="114">
        <v>0.1</v>
      </c>
      <c r="F33" s="20">
        <v>1440</v>
      </c>
      <c r="G33" s="114">
        <v>0.05</v>
      </c>
      <c r="H33" s="1">
        <v>1440</v>
      </c>
      <c r="I33" s="114">
        <v>0.17</v>
      </c>
    </row>
    <row r="34" spans="3:13" x14ac:dyDescent="0.3">
      <c r="C34" s="72" t="s">
        <v>452</v>
      </c>
      <c r="D34" s="20">
        <v>3300</v>
      </c>
      <c r="E34" s="114">
        <v>0.05</v>
      </c>
      <c r="F34" s="20">
        <v>3300</v>
      </c>
      <c r="G34" s="114">
        <v>0.01</v>
      </c>
      <c r="H34" s="1">
        <v>3300</v>
      </c>
      <c r="I34" s="114">
        <v>0.15</v>
      </c>
    </row>
    <row r="35" spans="3:13" x14ac:dyDescent="0.3">
      <c r="C35" s="72" t="s">
        <v>451</v>
      </c>
      <c r="D35" s="20">
        <v>6660</v>
      </c>
      <c r="E35" s="114">
        <v>2.5000000000000001E-2</v>
      </c>
      <c r="F35" s="20">
        <v>6660</v>
      </c>
      <c r="G35" s="114">
        <v>5.0000000000000001E-3</v>
      </c>
      <c r="H35" s="1">
        <v>6660</v>
      </c>
      <c r="I35" s="114">
        <v>0.11</v>
      </c>
    </row>
    <row r="36" spans="3:13" x14ac:dyDescent="0.3">
      <c r="C36" s="72" t="s">
        <v>450</v>
      </c>
      <c r="D36" s="20">
        <v>12600</v>
      </c>
      <c r="E36" s="114">
        <v>0.01</v>
      </c>
      <c r="F36" s="20">
        <v>12600</v>
      </c>
      <c r="G36" s="114">
        <v>2E-3</v>
      </c>
      <c r="H36" s="1">
        <v>12600</v>
      </c>
      <c r="I36" s="114">
        <v>7.0000000000000007E-2</v>
      </c>
    </row>
    <row r="37" spans="3:13" x14ac:dyDescent="0.3">
      <c r="C37" s="72" t="s">
        <v>449</v>
      </c>
      <c r="D37" s="20">
        <v>25860</v>
      </c>
      <c r="E37" s="114">
        <v>0.01</v>
      </c>
      <c r="F37" s="20">
        <v>25860</v>
      </c>
      <c r="G37" s="114">
        <v>2E-3</v>
      </c>
      <c r="H37" s="1">
        <v>25860</v>
      </c>
      <c r="I37" s="114">
        <v>0.02</v>
      </c>
    </row>
    <row r="38" spans="3:13" x14ac:dyDescent="0.3">
      <c r="C38" s="24" t="s">
        <v>448</v>
      </c>
      <c r="D38" s="18">
        <v>71460</v>
      </c>
      <c r="E38" s="113">
        <v>5.0000000000000001E-3</v>
      </c>
      <c r="F38" s="18">
        <v>71460</v>
      </c>
      <c r="G38" s="113">
        <v>1E-3</v>
      </c>
      <c r="H38" s="17">
        <v>72066</v>
      </c>
      <c r="I38" s="113">
        <v>0.01</v>
      </c>
    </row>
    <row r="39" spans="3:13" ht="15" thickBot="1" x14ac:dyDescent="0.35"/>
    <row r="40" spans="3:13" ht="15" thickBot="1" x14ac:dyDescent="0.35">
      <c r="C40" s="375" t="s">
        <v>3</v>
      </c>
      <c r="D40" s="376"/>
      <c r="E40" s="376"/>
      <c r="F40" s="376"/>
      <c r="G40" s="376"/>
      <c r="H40" s="376"/>
      <c r="I40" s="376"/>
      <c r="J40" s="376"/>
      <c r="K40" s="376"/>
      <c r="L40" s="376"/>
      <c r="M40" s="377"/>
    </row>
    <row r="41" spans="3:13" x14ac:dyDescent="0.3">
      <c r="C41" s="112"/>
      <c r="D41" s="112"/>
      <c r="E41" s="112"/>
      <c r="F41" s="112"/>
      <c r="G41" s="112"/>
      <c r="H41" s="112"/>
      <c r="I41" s="112"/>
    </row>
  </sheetData>
  <mergeCells count="7">
    <mergeCell ref="C10:G10"/>
    <mergeCell ref="C24:M24"/>
    <mergeCell ref="C40:M40"/>
    <mergeCell ref="H27:I27"/>
    <mergeCell ref="F27:G27"/>
    <mergeCell ref="D27:E27"/>
    <mergeCell ref="C26:I26"/>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4E287-EA28-4952-87F5-6B9423CB47CF}">
  <sheetPr>
    <tabColor theme="9" tint="0.59999389629810485"/>
  </sheetPr>
  <dimension ref="A1:R92"/>
  <sheetViews>
    <sheetView workbookViewId="0">
      <selection activeCell="I48" sqref="I48"/>
    </sheetView>
  </sheetViews>
  <sheetFormatPr defaultRowHeight="14.4" x14ac:dyDescent="0.3"/>
  <cols>
    <col min="3" max="3" width="14.88671875" customWidth="1"/>
    <col min="4" max="8" width="14.44140625" customWidth="1"/>
    <col min="9" max="16" width="14.88671875" customWidth="1"/>
  </cols>
  <sheetData>
    <row r="1" spans="1:9" ht="15" thickBot="1" x14ac:dyDescent="0.35">
      <c r="A1" t="s">
        <v>487</v>
      </c>
      <c r="H1" s="11" t="s">
        <v>13</v>
      </c>
      <c r="I1" s="10"/>
    </row>
    <row r="2" spans="1:9" x14ac:dyDescent="0.3">
      <c r="H2" s="9" t="s">
        <v>12</v>
      </c>
      <c r="I2" s="9"/>
    </row>
    <row r="3" spans="1:9" ht="15" thickBot="1" x14ac:dyDescent="0.35">
      <c r="H3" s="8" t="s">
        <v>11</v>
      </c>
      <c r="I3" s="8"/>
    </row>
    <row r="4" spans="1:9" ht="15.6" thickTop="1" thickBot="1" x14ac:dyDescent="0.35">
      <c r="H4" s="7" t="s">
        <v>10</v>
      </c>
      <c r="I4" s="7"/>
    </row>
    <row r="5" spans="1:9" ht="15" thickTop="1" x14ac:dyDescent="0.3">
      <c r="H5" s="6" t="s">
        <v>9</v>
      </c>
      <c r="I5" s="5"/>
    </row>
    <row r="6" spans="1:9" x14ac:dyDescent="0.3">
      <c r="H6" s="120" t="s">
        <v>486</v>
      </c>
      <c r="I6" s="120"/>
    </row>
    <row r="9" spans="1:9" ht="15" thickBot="1" x14ac:dyDescent="0.35"/>
    <row r="10" spans="1:9" ht="15" thickBot="1" x14ac:dyDescent="0.35">
      <c r="C10" s="375" t="s">
        <v>8</v>
      </c>
      <c r="D10" s="376"/>
      <c r="E10" s="376"/>
      <c r="F10" s="376"/>
      <c r="G10" s="377"/>
    </row>
    <row r="12" spans="1:9" x14ac:dyDescent="0.3">
      <c r="D12" t="s">
        <v>485</v>
      </c>
    </row>
    <row r="13" spans="1:9" x14ac:dyDescent="0.3">
      <c r="D13" t="s">
        <v>484</v>
      </c>
    </row>
    <row r="14" spans="1:9" x14ac:dyDescent="0.3">
      <c r="D14" t="s">
        <v>483</v>
      </c>
    </row>
    <row r="16" spans="1:9" x14ac:dyDescent="0.3">
      <c r="C16" t="s">
        <v>482</v>
      </c>
      <c r="G16" t="s">
        <v>481</v>
      </c>
    </row>
    <row r="17" spans="3:13" x14ac:dyDescent="0.3">
      <c r="C17" s="4">
        <v>731</v>
      </c>
      <c r="D17" t="s">
        <v>480</v>
      </c>
      <c r="G17" s="14" t="s">
        <v>479</v>
      </c>
      <c r="H17" s="14" t="s">
        <v>478</v>
      </c>
      <c r="I17" t="s">
        <v>477</v>
      </c>
    </row>
    <row r="18" spans="3:13" x14ac:dyDescent="0.3">
      <c r="C18" s="56">
        <v>22.9</v>
      </c>
      <c r="D18" t="s">
        <v>476</v>
      </c>
      <c r="G18" s="119" t="s">
        <v>475</v>
      </c>
      <c r="H18" s="14" t="s">
        <v>474</v>
      </c>
      <c r="I18" t="s">
        <v>473</v>
      </c>
    </row>
    <row r="19" spans="3:13" x14ac:dyDescent="0.3">
      <c r="C19" s="98">
        <v>0.33</v>
      </c>
      <c r="D19" t="s">
        <v>216</v>
      </c>
      <c r="G19" s="2">
        <v>0.1</v>
      </c>
      <c r="H19" s="2">
        <v>0.1</v>
      </c>
      <c r="I19" t="s">
        <v>41</v>
      </c>
    </row>
    <row r="20" spans="3:13" x14ac:dyDescent="0.3">
      <c r="C20" s="56">
        <v>99.65</v>
      </c>
      <c r="D20" t="s">
        <v>472</v>
      </c>
      <c r="G20" s="119" t="s">
        <v>471</v>
      </c>
      <c r="H20" s="14" t="s">
        <v>470</v>
      </c>
      <c r="I20" t="s">
        <v>469</v>
      </c>
    </row>
    <row r="21" spans="3:13" x14ac:dyDescent="0.3">
      <c r="C21" s="4">
        <v>0</v>
      </c>
      <c r="D21" t="s">
        <v>468</v>
      </c>
      <c r="G21" s="1">
        <v>75</v>
      </c>
      <c r="H21" s="119" t="s">
        <v>467</v>
      </c>
      <c r="I21" t="s">
        <v>466</v>
      </c>
    </row>
    <row r="22" spans="3:13" x14ac:dyDescent="0.3">
      <c r="C22" s="4">
        <v>0</v>
      </c>
      <c r="D22" t="s">
        <v>465</v>
      </c>
      <c r="G22" s="14" t="s">
        <v>464</v>
      </c>
      <c r="H22" s="14" t="s">
        <v>463</v>
      </c>
      <c r="I22" t="s">
        <v>462</v>
      </c>
    </row>
    <row r="23" spans="3:13" ht="15" thickBot="1" x14ac:dyDescent="0.35"/>
    <row r="24" spans="3:13" ht="15" thickBot="1" x14ac:dyDescent="0.35">
      <c r="C24" s="375" t="s">
        <v>4</v>
      </c>
      <c r="D24" s="376"/>
      <c r="E24" s="376"/>
      <c r="F24" s="376"/>
      <c r="G24" s="376"/>
      <c r="H24" s="376"/>
      <c r="I24" s="376"/>
      <c r="J24" s="376"/>
      <c r="K24" s="376"/>
      <c r="L24" s="376"/>
      <c r="M24" s="377"/>
    </row>
    <row r="26" spans="3:13" x14ac:dyDescent="0.3">
      <c r="C26" s="386" t="s">
        <v>461</v>
      </c>
      <c r="D26" s="386"/>
      <c r="E26" s="386"/>
      <c r="F26" s="386"/>
      <c r="G26" s="386"/>
      <c r="H26" s="386"/>
      <c r="I26" s="386"/>
    </row>
    <row r="27" spans="3:13" x14ac:dyDescent="0.3">
      <c r="C27" s="73"/>
      <c r="D27" s="386" t="s">
        <v>460</v>
      </c>
      <c r="E27" s="386"/>
      <c r="F27" s="386" t="s">
        <v>161</v>
      </c>
      <c r="G27" s="386"/>
      <c r="H27" s="387" t="s">
        <v>459</v>
      </c>
      <c r="I27" s="386"/>
    </row>
    <row r="28" spans="3:13" x14ac:dyDescent="0.3">
      <c r="C28" s="73" t="s">
        <v>458</v>
      </c>
      <c r="D28" s="59" t="s">
        <v>457</v>
      </c>
      <c r="E28" s="59" t="s">
        <v>151</v>
      </c>
      <c r="F28" s="59" t="s">
        <v>457</v>
      </c>
      <c r="G28" s="59" t="s">
        <v>151</v>
      </c>
      <c r="H28" s="67" t="s">
        <v>457</v>
      </c>
      <c r="I28" s="59" t="s">
        <v>151</v>
      </c>
    </row>
    <row r="29" spans="3:13" x14ac:dyDescent="0.3">
      <c r="C29" s="117">
        <v>0</v>
      </c>
      <c r="D29" s="80">
        <v>0</v>
      </c>
      <c r="E29" s="115">
        <v>0.15</v>
      </c>
      <c r="F29" s="80">
        <v>0</v>
      </c>
      <c r="G29" s="115">
        <v>0.55000000000000004</v>
      </c>
      <c r="H29" s="116">
        <v>0</v>
      </c>
      <c r="I29" s="115">
        <v>5.0000000000000001E-3</v>
      </c>
    </row>
    <row r="30" spans="3:13" x14ac:dyDescent="0.3">
      <c r="C30" s="72" t="s">
        <v>456</v>
      </c>
      <c r="D30" s="20">
        <v>180</v>
      </c>
      <c r="E30" s="114">
        <v>0.2</v>
      </c>
      <c r="F30" s="20">
        <v>180</v>
      </c>
      <c r="G30" s="114">
        <v>0.15</v>
      </c>
      <c r="H30" s="1">
        <v>180</v>
      </c>
      <c r="I30" s="114">
        <v>5.5E-2</v>
      </c>
    </row>
    <row r="31" spans="3:13" x14ac:dyDescent="0.3">
      <c r="C31" s="72" t="s">
        <v>455</v>
      </c>
      <c r="D31" s="20">
        <v>360</v>
      </c>
      <c r="E31" s="114">
        <v>0.25</v>
      </c>
      <c r="F31" s="20">
        <v>360</v>
      </c>
      <c r="G31" s="114">
        <v>0.15</v>
      </c>
      <c r="H31" s="1">
        <v>360</v>
      </c>
      <c r="I31" s="114">
        <v>0.2</v>
      </c>
    </row>
    <row r="32" spans="3:13" x14ac:dyDescent="0.3">
      <c r="C32" s="72" t="s">
        <v>454</v>
      </c>
      <c r="D32" s="20">
        <v>720</v>
      </c>
      <c r="E32" s="114">
        <v>0.2</v>
      </c>
      <c r="F32" s="20">
        <v>720</v>
      </c>
      <c r="G32" s="114">
        <v>0.08</v>
      </c>
      <c r="H32" s="1">
        <v>720</v>
      </c>
      <c r="I32" s="114">
        <v>0.21</v>
      </c>
    </row>
    <row r="33" spans="3:13" x14ac:dyDescent="0.3">
      <c r="C33" s="72" t="s">
        <v>453</v>
      </c>
      <c r="D33" s="20">
        <v>1440</v>
      </c>
      <c r="E33" s="114">
        <v>0.1</v>
      </c>
      <c r="F33" s="20">
        <v>1440</v>
      </c>
      <c r="G33" s="114">
        <v>0.05</v>
      </c>
      <c r="H33" s="1">
        <v>1440</v>
      </c>
      <c r="I33" s="114">
        <v>0.17</v>
      </c>
    </row>
    <row r="34" spans="3:13" x14ac:dyDescent="0.3">
      <c r="C34" s="72" t="s">
        <v>452</v>
      </c>
      <c r="D34" s="20">
        <v>3300</v>
      </c>
      <c r="E34" s="114">
        <v>0.05</v>
      </c>
      <c r="F34" s="20">
        <v>3300</v>
      </c>
      <c r="G34" s="114">
        <v>0.01</v>
      </c>
      <c r="H34" s="1">
        <v>3300</v>
      </c>
      <c r="I34" s="114">
        <v>0.15</v>
      </c>
    </row>
    <row r="35" spans="3:13" x14ac:dyDescent="0.3">
      <c r="C35" s="72" t="s">
        <v>451</v>
      </c>
      <c r="D35" s="20">
        <v>6660</v>
      </c>
      <c r="E35" s="114">
        <v>2.5000000000000001E-2</v>
      </c>
      <c r="F35" s="20">
        <v>6660</v>
      </c>
      <c r="G35" s="114">
        <v>5.0000000000000001E-3</v>
      </c>
      <c r="H35" s="1">
        <v>6660</v>
      </c>
      <c r="I35" s="114">
        <v>0.11</v>
      </c>
    </row>
    <row r="36" spans="3:13" x14ac:dyDescent="0.3">
      <c r="C36" s="72" t="s">
        <v>450</v>
      </c>
      <c r="D36" s="20">
        <v>12600</v>
      </c>
      <c r="E36" s="114">
        <v>0.01</v>
      </c>
      <c r="F36" s="20">
        <v>12600</v>
      </c>
      <c r="G36" s="114">
        <v>2E-3</v>
      </c>
      <c r="H36" s="1">
        <v>12600</v>
      </c>
      <c r="I36" s="114">
        <v>7.0000000000000007E-2</v>
      </c>
    </row>
    <row r="37" spans="3:13" x14ac:dyDescent="0.3">
      <c r="C37" s="72" t="s">
        <v>449</v>
      </c>
      <c r="D37" s="20">
        <v>25860</v>
      </c>
      <c r="E37" s="114">
        <v>0.01</v>
      </c>
      <c r="F37" s="20">
        <v>25860</v>
      </c>
      <c r="G37" s="114">
        <v>2E-3</v>
      </c>
      <c r="H37" s="1">
        <v>25860</v>
      </c>
      <c r="I37" s="114">
        <v>0.02</v>
      </c>
    </row>
    <row r="38" spans="3:13" x14ac:dyDescent="0.3">
      <c r="C38" s="24" t="s">
        <v>448</v>
      </c>
      <c r="D38" s="18">
        <v>71460</v>
      </c>
      <c r="E38" s="113">
        <v>5.0000000000000001E-3</v>
      </c>
      <c r="F38" s="18">
        <v>71460</v>
      </c>
      <c r="G38" s="113">
        <v>1E-3</v>
      </c>
      <c r="H38" s="17">
        <v>72066</v>
      </c>
      <c r="I38" s="113">
        <v>0.01</v>
      </c>
    </row>
    <row r="39" spans="3:13" ht="15" thickBot="1" x14ac:dyDescent="0.35"/>
    <row r="40" spans="3:13" ht="15" thickBot="1" x14ac:dyDescent="0.35">
      <c r="C40" s="375" t="s">
        <v>3</v>
      </c>
      <c r="D40" s="376"/>
      <c r="E40" s="376"/>
      <c r="F40" s="376"/>
      <c r="G40" s="376"/>
      <c r="H40" s="376"/>
      <c r="I40" s="376"/>
      <c r="J40" s="376"/>
      <c r="K40" s="376"/>
      <c r="L40" s="376"/>
      <c r="M40" s="377"/>
    </row>
    <row r="41" spans="3:13" x14ac:dyDescent="0.3">
      <c r="C41" s="112"/>
      <c r="D41" s="112"/>
      <c r="E41" s="112"/>
      <c r="F41" s="112"/>
      <c r="G41" s="112"/>
      <c r="H41" s="112"/>
      <c r="I41" s="112"/>
    </row>
    <row r="42" spans="3:13" x14ac:dyDescent="0.3">
      <c r="C42" s="182" t="s">
        <v>877</v>
      </c>
      <c r="D42" s="393" t="s">
        <v>460</v>
      </c>
      <c r="E42" s="387"/>
      <c r="F42" s="407" t="s">
        <v>161</v>
      </c>
      <c r="G42" s="387"/>
      <c r="I42" s="182" t="s">
        <v>876</v>
      </c>
      <c r="J42" s="393" t="s">
        <v>858</v>
      </c>
      <c r="K42" s="387"/>
      <c r="L42" s="393" t="s">
        <v>459</v>
      </c>
      <c r="M42" s="387"/>
    </row>
    <row r="43" spans="3:13" x14ac:dyDescent="0.3">
      <c r="C43" t="s">
        <v>875</v>
      </c>
      <c r="D43" s="15">
        <f>C18*12</f>
        <v>274.79999999999995</v>
      </c>
      <c r="E43" s="107" t="s">
        <v>641</v>
      </c>
      <c r="F43" s="15">
        <f>C22</f>
        <v>0</v>
      </c>
      <c r="G43" s="14" t="s">
        <v>641</v>
      </c>
      <c r="I43" t="s">
        <v>875</v>
      </c>
      <c r="J43" s="223">
        <v>150</v>
      </c>
      <c r="K43" s="107" t="s">
        <v>641</v>
      </c>
      <c r="L43" s="16">
        <f>J43*2</f>
        <v>300</v>
      </c>
      <c r="M43" s="107" t="s">
        <v>641</v>
      </c>
    </row>
    <row r="44" spans="3:13" x14ac:dyDescent="0.3">
      <c r="D44" s="2">
        <f>C19</f>
        <v>0.33</v>
      </c>
      <c r="E44" s="107" t="s">
        <v>704</v>
      </c>
      <c r="F44" s="2">
        <v>0</v>
      </c>
      <c r="G44" s="14" t="s">
        <v>704</v>
      </c>
      <c r="J44" s="222">
        <f>G19</f>
        <v>0.1</v>
      </c>
      <c r="K44" s="107" t="s">
        <v>704</v>
      </c>
      <c r="L44" s="222">
        <f>H19</f>
        <v>0.1</v>
      </c>
      <c r="M44" s="107" t="s">
        <v>704</v>
      </c>
    </row>
    <row r="45" spans="3:13" x14ac:dyDescent="0.3">
      <c r="D45" s="132">
        <f>C20*12</f>
        <v>1195.8000000000002</v>
      </c>
      <c r="E45" s="68" t="s">
        <v>730</v>
      </c>
      <c r="F45" s="23" t="s">
        <v>46</v>
      </c>
      <c r="G45" s="23" t="s">
        <v>730</v>
      </c>
      <c r="J45" s="221">
        <v>750</v>
      </c>
      <c r="K45" s="68" t="s">
        <v>730</v>
      </c>
      <c r="L45" s="220">
        <f>1.5*J45</f>
        <v>1125</v>
      </c>
      <c r="M45" s="68" t="s">
        <v>730</v>
      </c>
    </row>
    <row r="46" spans="3:13" x14ac:dyDescent="0.3">
      <c r="E46" s="106"/>
      <c r="J46" s="54"/>
      <c r="K46" s="106"/>
      <c r="L46" s="54"/>
      <c r="M46" s="106"/>
    </row>
    <row r="47" spans="3:13" x14ac:dyDescent="0.3">
      <c r="C47" s="73" t="s">
        <v>458</v>
      </c>
      <c r="D47" s="118" t="s">
        <v>873</v>
      </c>
      <c r="E47" s="67" t="s">
        <v>871</v>
      </c>
      <c r="F47" s="118" t="s">
        <v>874</v>
      </c>
      <c r="G47" s="67" t="s">
        <v>871</v>
      </c>
      <c r="H47" s="23"/>
      <c r="I47" s="73" t="s">
        <v>458</v>
      </c>
      <c r="J47" s="73" t="s">
        <v>873</v>
      </c>
      <c r="K47" s="67" t="s">
        <v>871</v>
      </c>
      <c r="L47" s="73" t="s">
        <v>872</v>
      </c>
      <c r="M47" s="67" t="s">
        <v>871</v>
      </c>
    </row>
    <row r="48" spans="3:13" x14ac:dyDescent="0.3">
      <c r="C48" s="72">
        <v>0</v>
      </c>
      <c r="D48" s="1">
        <f t="shared" ref="D48:D57" si="0">MIN(D29,(D29-$D$43)*$D$44+$D$43,$D$45)</f>
        <v>0</v>
      </c>
      <c r="E48" s="1">
        <f t="shared" ref="E48:E57" si="1">D29-D48</f>
        <v>0</v>
      </c>
      <c r="F48" s="20">
        <f t="shared" ref="F48:F57" si="2">MIN(F29,(F29-$F$43)*$F$44+$F$43)</f>
        <v>0</v>
      </c>
      <c r="G48" s="62">
        <f t="shared" ref="G48:G57" si="3">F29-F48</f>
        <v>0</v>
      </c>
      <c r="H48" s="4"/>
      <c r="I48" s="72">
        <v>0</v>
      </c>
      <c r="J48" s="20">
        <f t="shared" ref="J48:J57" si="4">MIN(D29,(D29-$J$43)*$J$44+$J$43,$J$45)</f>
        <v>0</v>
      </c>
      <c r="K48" s="62">
        <f t="shared" ref="K48:K57" si="5">D29-J48</f>
        <v>0</v>
      </c>
      <c r="L48" s="20">
        <f t="shared" ref="L48:L57" si="6">MIN(H29,(H29-$L$43)*$L$44+$L$43,$L$45)</f>
        <v>0</v>
      </c>
      <c r="M48" s="62">
        <f t="shared" ref="M48:M57" si="7">H29-L48</f>
        <v>0</v>
      </c>
    </row>
    <row r="49" spans="3:15" x14ac:dyDescent="0.3">
      <c r="C49" s="72" t="s">
        <v>456</v>
      </c>
      <c r="D49" s="1">
        <f t="shared" si="0"/>
        <v>180</v>
      </c>
      <c r="E49" s="1">
        <f t="shared" si="1"/>
        <v>0</v>
      </c>
      <c r="F49" s="20">
        <f t="shared" si="2"/>
        <v>0</v>
      </c>
      <c r="G49" s="62">
        <f t="shared" si="3"/>
        <v>180</v>
      </c>
      <c r="H49" s="4"/>
      <c r="I49" s="72" t="s">
        <v>456</v>
      </c>
      <c r="J49" s="20">
        <f t="shared" si="4"/>
        <v>153</v>
      </c>
      <c r="K49" s="62">
        <f t="shared" si="5"/>
        <v>27</v>
      </c>
      <c r="L49" s="20">
        <f t="shared" si="6"/>
        <v>180</v>
      </c>
      <c r="M49" s="62">
        <f t="shared" si="7"/>
        <v>0</v>
      </c>
    </row>
    <row r="50" spans="3:15" x14ac:dyDescent="0.3">
      <c r="C50" s="72" t="s">
        <v>455</v>
      </c>
      <c r="D50" s="1">
        <f t="shared" si="0"/>
        <v>302.916</v>
      </c>
      <c r="E50" s="1">
        <f t="shared" si="1"/>
        <v>57.084000000000003</v>
      </c>
      <c r="F50" s="20">
        <f t="shared" si="2"/>
        <v>0</v>
      </c>
      <c r="G50" s="62">
        <f t="shared" si="3"/>
        <v>360</v>
      </c>
      <c r="H50" s="4"/>
      <c r="I50" s="72" t="s">
        <v>455</v>
      </c>
      <c r="J50" s="20">
        <f t="shared" si="4"/>
        <v>171</v>
      </c>
      <c r="K50" s="62">
        <f t="shared" si="5"/>
        <v>189</v>
      </c>
      <c r="L50" s="20">
        <f t="shared" si="6"/>
        <v>306</v>
      </c>
      <c r="M50" s="62">
        <f t="shared" si="7"/>
        <v>54</v>
      </c>
    </row>
    <row r="51" spans="3:15" x14ac:dyDescent="0.3">
      <c r="C51" s="72" t="s">
        <v>454</v>
      </c>
      <c r="D51" s="1">
        <f t="shared" si="0"/>
        <v>421.71600000000001</v>
      </c>
      <c r="E51" s="1">
        <f t="shared" si="1"/>
        <v>298.28399999999999</v>
      </c>
      <c r="F51" s="20">
        <f t="shared" si="2"/>
        <v>0</v>
      </c>
      <c r="G51" s="62">
        <f t="shared" si="3"/>
        <v>720</v>
      </c>
      <c r="H51" s="4"/>
      <c r="I51" s="72" t="s">
        <v>454</v>
      </c>
      <c r="J51" s="20">
        <f t="shared" si="4"/>
        <v>207</v>
      </c>
      <c r="K51" s="62">
        <f t="shared" si="5"/>
        <v>513</v>
      </c>
      <c r="L51" s="20">
        <f t="shared" si="6"/>
        <v>342</v>
      </c>
      <c r="M51" s="62">
        <f t="shared" si="7"/>
        <v>378</v>
      </c>
    </row>
    <row r="52" spans="3:15" x14ac:dyDescent="0.3">
      <c r="C52" s="72" t="s">
        <v>453</v>
      </c>
      <c r="D52" s="1">
        <f t="shared" si="0"/>
        <v>659.31600000000003</v>
      </c>
      <c r="E52" s="1">
        <f t="shared" si="1"/>
        <v>780.68399999999997</v>
      </c>
      <c r="F52" s="20">
        <f t="shared" si="2"/>
        <v>0</v>
      </c>
      <c r="G52" s="62">
        <f t="shared" si="3"/>
        <v>1440</v>
      </c>
      <c r="H52" s="4"/>
      <c r="I52" s="72" t="s">
        <v>453</v>
      </c>
      <c r="J52" s="20">
        <f t="shared" si="4"/>
        <v>279</v>
      </c>
      <c r="K52" s="62">
        <f t="shared" si="5"/>
        <v>1161</v>
      </c>
      <c r="L52" s="20">
        <f t="shared" si="6"/>
        <v>414</v>
      </c>
      <c r="M52" s="62">
        <f t="shared" si="7"/>
        <v>1026</v>
      </c>
    </row>
    <row r="53" spans="3:15" x14ac:dyDescent="0.3">
      <c r="C53" s="72" t="s">
        <v>452</v>
      </c>
      <c r="D53" s="1">
        <f t="shared" si="0"/>
        <v>1195.8000000000002</v>
      </c>
      <c r="E53" s="1">
        <f t="shared" si="1"/>
        <v>2104.1999999999998</v>
      </c>
      <c r="F53" s="20">
        <f t="shared" si="2"/>
        <v>0</v>
      </c>
      <c r="G53" s="62">
        <f t="shared" si="3"/>
        <v>3300</v>
      </c>
      <c r="H53" s="4"/>
      <c r="I53" s="72" t="s">
        <v>452</v>
      </c>
      <c r="J53" s="20">
        <f t="shared" si="4"/>
        <v>465</v>
      </c>
      <c r="K53" s="62">
        <f t="shared" si="5"/>
        <v>2835</v>
      </c>
      <c r="L53" s="20">
        <f t="shared" si="6"/>
        <v>600</v>
      </c>
      <c r="M53" s="62">
        <f t="shared" si="7"/>
        <v>2700</v>
      </c>
    </row>
    <row r="54" spans="3:15" x14ac:dyDescent="0.3">
      <c r="C54" s="72" t="s">
        <v>451</v>
      </c>
      <c r="D54" s="1">
        <f t="shared" si="0"/>
        <v>1195.8000000000002</v>
      </c>
      <c r="E54" s="1">
        <f t="shared" si="1"/>
        <v>5464.2</v>
      </c>
      <c r="F54" s="20">
        <f t="shared" si="2"/>
        <v>0</v>
      </c>
      <c r="G54" s="62">
        <f t="shared" si="3"/>
        <v>6660</v>
      </c>
      <c r="H54" s="4"/>
      <c r="I54" s="72" t="s">
        <v>451</v>
      </c>
      <c r="J54" s="20">
        <f t="shared" si="4"/>
        <v>750</v>
      </c>
      <c r="K54" s="62">
        <f t="shared" si="5"/>
        <v>5910</v>
      </c>
      <c r="L54" s="20">
        <f t="shared" si="6"/>
        <v>936</v>
      </c>
      <c r="M54" s="62">
        <f t="shared" si="7"/>
        <v>5724</v>
      </c>
    </row>
    <row r="55" spans="3:15" x14ac:dyDescent="0.3">
      <c r="C55" s="72" t="s">
        <v>450</v>
      </c>
      <c r="D55" s="1">
        <f t="shared" si="0"/>
        <v>1195.8000000000002</v>
      </c>
      <c r="E55" s="1">
        <f t="shared" si="1"/>
        <v>11404.2</v>
      </c>
      <c r="F55" s="20">
        <f t="shared" si="2"/>
        <v>0</v>
      </c>
      <c r="G55" s="62">
        <f t="shared" si="3"/>
        <v>12600</v>
      </c>
      <c r="H55" s="4"/>
      <c r="I55" s="72" t="s">
        <v>450</v>
      </c>
      <c r="J55" s="20">
        <f t="shared" si="4"/>
        <v>750</v>
      </c>
      <c r="K55" s="62">
        <f t="shared" si="5"/>
        <v>11850</v>
      </c>
      <c r="L55" s="20">
        <f t="shared" si="6"/>
        <v>1125</v>
      </c>
      <c r="M55" s="62">
        <f t="shared" si="7"/>
        <v>11475</v>
      </c>
    </row>
    <row r="56" spans="3:15" x14ac:dyDescent="0.3">
      <c r="C56" s="72" t="s">
        <v>449</v>
      </c>
      <c r="D56" s="1">
        <f t="shared" si="0"/>
        <v>1195.8000000000002</v>
      </c>
      <c r="E56" s="1">
        <f t="shared" si="1"/>
        <v>24664.2</v>
      </c>
      <c r="F56" s="20">
        <f t="shared" si="2"/>
        <v>0</v>
      </c>
      <c r="G56" s="62">
        <f t="shared" si="3"/>
        <v>25860</v>
      </c>
      <c r="H56" s="4"/>
      <c r="I56" s="72" t="s">
        <v>449</v>
      </c>
      <c r="J56" s="20">
        <f t="shared" si="4"/>
        <v>750</v>
      </c>
      <c r="K56" s="62">
        <f t="shared" si="5"/>
        <v>25110</v>
      </c>
      <c r="L56" s="20">
        <f t="shared" si="6"/>
        <v>1125</v>
      </c>
      <c r="M56" s="62">
        <f t="shared" si="7"/>
        <v>24735</v>
      </c>
    </row>
    <row r="57" spans="3:15" x14ac:dyDescent="0.3">
      <c r="C57" s="24" t="s">
        <v>448</v>
      </c>
      <c r="D57" s="17">
        <f t="shared" si="0"/>
        <v>1195.8000000000002</v>
      </c>
      <c r="E57" s="17">
        <f t="shared" si="1"/>
        <v>70264.2</v>
      </c>
      <c r="F57" s="18">
        <f t="shared" si="2"/>
        <v>0</v>
      </c>
      <c r="G57" s="60">
        <f t="shared" si="3"/>
        <v>71460</v>
      </c>
      <c r="H57" s="176"/>
      <c r="I57" s="24" t="s">
        <v>448</v>
      </c>
      <c r="J57" s="18">
        <f t="shared" si="4"/>
        <v>750</v>
      </c>
      <c r="K57" s="60">
        <f t="shared" si="5"/>
        <v>70710</v>
      </c>
      <c r="L57" s="18">
        <f t="shared" si="6"/>
        <v>1125</v>
      </c>
      <c r="M57" s="60">
        <f t="shared" si="7"/>
        <v>70941</v>
      </c>
    </row>
    <row r="58" spans="3:15" x14ac:dyDescent="0.3">
      <c r="C58" s="219"/>
      <c r="D58" s="218">
        <f>SUMPRODUCT(D48:D57,E29:E38)</f>
        <v>381.58380000000005</v>
      </c>
      <c r="E58" s="218">
        <f>SUMPRODUCT(E48:E57,E29:E38)</f>
        <v>1105.8162</v>
      </c>
      <c r="F58" s="217">
        <f>SUMPRODUCT(F48:F57,G29:G38)</f>
        <v>0</v>
      </c>
      <c r="G58" s="216">
        <f>SUMPRODUCT(G48:G57,G29:G38)</f>
        <v>425.28</v>
      </c>
      <c r="H58" s="4"/>
      <c r="I58" s="91"/>
      <c r="J58" s="18">
        <f>SUMPRODUCT(J48:J57,E29:E38)</f>
        <v>203.4</v>
      </c>
      <c r="K58" s="60">
        <f>SUMPRODUCT(K48:K57,E29:E38)</f>
        <v>1284</v>
      </c>
      <c r="L58" s="18">
        <f>SUMPRODUCT(L48:L57,I29:I38)</f>
        <v>518.76</v>
      </c>
      <c r="M58" s="60">
        <f>SUMPRODUCT(M48:M57,I29:I38)</f>
        <v>3306.6</v>
      </c>
    </row>
    <row r="59" spans="3:15" x14ac:dyDescent="0.3">
      <c r="D59" s="4"/>
      <c r="E59" s="4"/>
      <c r="F59" s="4"/>
      <c r="G59" s="4"/>
      <c r="H59" s="4"/>
      <c r="J59" s="4"/>
      <c r="K59" s="4"/>
      <c r="L59" s="4"/>
      <c r="M59" s="4"/>
    </row>
    <row r="60" spans="3:15" x14ac:dyDescent="0.3">
      <c r="C60" s="81"/>
      <c r="D60" s="206" t="s">
        <v>479</v>
      </c>
      <c r="E60" s="408" t="s">
        <v>478</v>
      </c>
      <c r="F60" s="408"/>
      <c r="G60" s="409"/>
      <c r="O60" s="214"/>
    </row>
    <row r="61" spans="3:15" x14ac:dyDescent="0.3">
      <c r="C61" s="81"/>
      <c r="D61" s="212" t="s">
        <v>870</v>
      </c>
      <c r="E61" s="212" t="s">
        <v>869</v>
      </c>
      <c r="F61" s="212" t="s">
        <v>868</v>
      </c>
      <c r="G61" s="213" t="s">
        <v>867</v>
      </c>
      <c r="J61" s="81"/>
      <c r="K61" s="212" t="s">
        <v>479</v>
      </c>
      <c r="L61" s="211" t="s">
        <v>478</v>
      </c>
      <c r="O61" s="47"/>
    </row>
    <row r="62" spans="3:15" x14ac:dyDescent="0.3">
      <c r="C62" s="206" t="s">
        <v>866</v>
      </c>
      <c r="D62" s="207">
        <f>C17</f>
        <v>731</v>
      </c>
      <c r="E62" s="209">
        <f>D62*2</f>
        <v>1462</v>
      </c>
      <c r="F62" s="207">
        <f>C21</f>
        <v>0</v>
      </c>
      <c r="G62" s="207">
        <f>E62+F62</f>
        <v>1462</v>
      </c>
      <c r="J62" s="206" t="s">
        <v>866</v>
      </c>
      <c r="K62" s="205">
        <f>G21*12</f>
        <v>900</v>
      </c>
      <c r="L62" s="210">
        <v>1260</v>
      </c>
      <c r="O62" s="47"/>
    </row>
    <row r="63" spans="3:15" x14ac:dyDescent="0.3">
      <c r="C63" s="206" t="s">
        <v>865</v>
      </c>
      <c r="D63" s="207">
        <f>E58-D62</f>
        <v>374.81619999999998</v>
      </c>
      <c r="E63" s="209">
        <f>D63*2</f>
        <v>749.63239999999996</v>
      </c>
      <c r="F63" s="208">
        <f>2*(G58-F62)</f>
        <v>850.56</v>
      </c>
      <c r="G63" s="207">
        <f>E63+F63</f>
        <v>1600.1923999999999</v>
      </c>
      <c r="J63" s="206" t="s">
        <v>865</v>
      </c>
      <c r="K63" s="205">
        <f>K58-K62</f>
        <v>384</v>
      </c>
      <c r="L63" s="205">
        <f>M58-L62</f>
        <v>2046.6</v>
      </c>
    </row>
    <row r="64" spans="3:15" x14ac:dyDescent="0.3">
      <c r="C64" s="81"/>
      <c r="D64" s="47"/>
      <c r="E64" s="47"/>
      <c r="F64" s="33"/>
      <c r="G64" s="47"/>
    </row>
    <row r="65" spans="10:18" x14ac:dyDescent="0.3">
      <c r="K65" s="204">
        <f>K63/D63</f>
        <v>1.0245021426501844</v>
      </c>
      <c r="L65" s="204">
        <f>L63/G63</f>
        <v>1.2789712037127536</v>
      </c>
      <c r="M65" s="9" t="s">
        <v>864</v>
      </c>
      <c r="N65" s="9"/>
      <c r="O65" s="9"/>
      <c r="P65" s="9"/>
      <c r="Q65" s="9"/>
      <c r="R65" s="9"/>
    </row>
    <row r="67" spans="10:18" x14ac:dyDescent="0.3">
      <c r="K67" s="394" t="s">
        <v>863</v>
      </c>
      <c r="L67" s="394"/>
    </row>
    <row r="68" spans="10:18" x14ac:dyDescent="0.3">
      <c r="J68" s="84" t="s">
        <v>862</v>
      </c>
      <c r="K68" s="203">
        <v>1.05</v>
      </c>
      <c r="L68" s="203">
        <v>1.3</v>
      </c>
    </row>
    <row r="69" spans="10:18" x14ac:dyDescent="0.3">
      <c r="J69" s="84" t="s">
        <v>861</v>
      </c>
      <c r="K69" s="203">
        <v>1</v>
      </c>
      <c r="L69" s="203">
        <v>1.25</v>
      </c>
    </row>
    <row r="71" spans="10:18" x14ac:dyDescent="0.3">
      <c r="K71" s="394" t="s">
        <v>860</v>
      </c>
      <c r="L71" s="394"/>
    </row>
    <row r="72" spans="10:18" x14ac:dyDescent="0.3">
      <c r="K72" t="b">
        <f>K65&lt;K68</f>
        <v>1</v>
      </c>
      <c r="L72" t="b">
        <f>L65&lt;L68</f>
        <v>1</v>
      </c>
    </row>
    <row r="73" spans="10:18" x14ac:dyDescent="0.3">
      <c r="K73" t="b">
        <f>K65&gt;K69</f>
        <v>1</v>
      </c>
      <c r="L73" t="b">
        <f>L65&gt;L69</f>
        <v>1</v>
      </c>
    </row>
    <row r="75" spans="10:18" x14ac:dyDescent="0.3">
      <c r="J75" s="202" t="s">
        <v>859</v>
      </c>
      <c r="K75" s="201"/>
      <c r="L75" s="200"/>
    </row>
    <row r="76" spans="10:18" x14ac:dyDescent="0.3">
      <c r="J76" s="199" t="s">
        <v>477</v>
      </c>
      <c r="K76" s="198" t="s">
        <v>858</v>
      </c>
      <c r="L76" s="198" t="s">
        <v>459</v>
      </c>
    </row>
    <row r="77" spans="10:18" x14ac:dyDescent="0.3">
      <c r="J77" s="194" t="s">
        <v>473</v>
      </c>
      <c r="K77" s="195">
        <f>J43</f>
        <v>150</v>
      </c>
      <c r="L77" s="195">
        <f>L43</f>
        <v>300</v>
      </c>
    </row>
    <row r="78" spans="10:18" x14ac:dyDescent="0.3">
      <c r="J78" s="194" t="s">
        <v>41</v>
      </c>
      <c r="K78" s="197">
        <v>0.1</v>
      </c>
      <c r="L78" s="197">
        <v>0.1</v>
      </c>
    </row>
    <row r="79" spans="10:18" x14ac:dyDescent="0.3">
      <c r="J79" s="194" t="s">
        <v>469</v>
      </c>
      <c r="K79" s="195">
        <f>J45</f>
        <v>750</v>
      </c>
      <c r="L79" s="195">
        <f>L45</f>
        <v>1125</v>
      </c>
    </row>
    <row r="80" spans="10:18" x14ac:dyDescent="0.3">
      <c r="J80" s="194" t="s">
        <v>466</v>
      </c>
      <c r="K80" s="196">
        <f>G21</f>
        <v>75</v>
      </c>
      <c r="L80" s="195">
        <f>L62/12</f>
        <v>105</v>
      </c>
    </row>
    <row r="81" spans="3:12" x14ac:dyDescent="0.3">
      <c r="J81" s="194" t="s">
        <v>462</v>
      </c>
      <c r="K81" s="193">
        <f>K65</f>
        <v>1.0245021426501844</v>
      </c>
      <c r="L81" s="193">
        <f>L65</f>
        <v>1.2789712037127536</v>
      </c>
    </row>
    <row r="82" spans="3:12" x14ac:dyDescent="0.3">
      <c r="C82" s="99" t="s">
        <v>857</v>
      </c>
    </row>
    <row r="84" spans="3:12" x14ac:dyDescent="0.3">
      <c r="C84" t="s">
        <v>856</v>
      </c>
    </row>
    <row r="85" spans="3:12" x14ac:dyDescent="0.3">
      <c r="C85" t="s">
        <v>855</v>
      </c>
    </row>
    <row r="86" spans="3:12" x14ac:dyDescent="0.3">
      <c r="C86" t="s">
        <v>854</v>
      </c>
    </row>
    <row r="87" spans="3:12" x14ac:dyDescent="0.3">
      <c r="C87" t="s">
        <v>853</v>
      </c>
    </row>
    <row r="88" spans="3:12" x14ac:dyDescent="0.3">
      <c r="C88" t="s">
        <v>852</v>
      </c>
    </row>
    <row r="89" spans="3:12" x14ac:dyDescent="0.3">
      <c r="C89" t="s">
        <v>851</v>
      </c>
    </row>
    <row r="91" spans="3:12" x14ac:dyDescent="0.3">
      <c r="C91" t="s">
        <v>850</v>
      </c>
    </row>
    <row r="92" spans="3:12" x14ac:dyDescent="0.3">
      <c r="C92" t="s">
        <v>849</v>
      </c>
    </row>
  </sheetData>
  <mergeCells count="14">
    <mergeCell ref="C10:G10"/>
    <mergeCell ref="C24:M24"/>
    <mergeCell ref="C26:I26"/>
    <mergeCell ref="D27:E27"/>
    <mergeCell ref="F27:G27"/>
    <mergeCell ref="H27:I27"/>
    <mergeCell ref="K67:L67"/>
    <mergeCell ref="K71:L71"/>
    <mergeCell ref="C40:M40"/>
    <mergeCell ref="D42:E42"/>
    <mergeCell ref="F42:G42"/>
    <mergeCell ref="J42:K42"/>
    <mergeCell ref="L42:M42"/>
    <mergeCell ref="E60:G60"/>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DDE2-0612-4354-8BE3-409D1BE1DE78}">
  <sheetPr>
    <tabColor theme="5" tint="0.39997558519241921"/>
  </sheetPr>
  <dimension ref="A1:M41"/>
  <sheetViews>
    <sheetView workbookViewId="0">
      <selection activeCell="B5" sqref="B5"/>
    </sheetView>
  </sheetViews>
  <sheetFormatPr defaultRowHeight="14.4" x14ac:dyDescent="0.3"/>
  <cols>
    <col min="6" max="6" width="11.88671875" customWidth="1"/>
    <col min="9" max="13" width="13.5546875" customWidth="1"/>
    <col min="14" max="14" width="14.6640625" customWidth="1"/>
  </cols>
  <sheetData>
    <row r="1" spans="1:8" ht="15" thickBot="1" x14ac:dyDescent="0.35">
      <c r="A1" t="s">
        <v>509</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21" spans="3:13" ht="15" thickBot="1" x14ac:dyDescent="0.35"/>
    <row r="22" spans="3:13" ht="15" thickBot="1" x14ac:dyDescent="0.35">
      <c r="C22" s="375" t="s">
        <v>4</v>
      </c>
      <c r="D22" s="376"/>
      <c r="E22" s="376"/>
      <c r="F22" s="376"/>
      <c r="G22" s="377"/>
      <c r="I22" s="375" t="s">
        <v>3</v>
      </c>
      <c r="J22" s="376"/>
      <c r="K22" s="376"/>
      <c r="L22" s="376"/>
      <c r="M22" s="377"/>
    </row>
    <row r="24" spans="3:13" x14ac:dyDescent="0.3">
      <c r="C24" t="s">
        <v>508</v>
      </c>
    </row>
    <row r="25" spans="3:13" x14ac:dyDescent="0.3">
      <c r="C25" t="s">
        <v>507</v>
      </c>
      <c r="D25" t="s">
        <v>506</v>
      </c>
      <c r="E25" t="s">
        <v>505</v>
      </c>
      <c r="F25" t="s">
        <v>504</v>
      </c>
    </row>
    <row r="26" spans="3:13" x14ac:dyDescent="0.3">
      <c r="C26" t="s">
        <v>503</v>
      </c>
      <c r="D26" s="90">
        <v>11000</v>
      </c>
      <c r="E26" s="90">
        <v>19800</v>
      </c>
      <c r="F26" s="4">
        <v>35640000</v>
      </c>
    </row>
    <row r="27" spans="3:13" x14ac:dyDescent="0.3">
      <c r="C27" t="s">
        <v>502</v>
      </c>
      <c r="D27" s="90">
        <v>11000</v>
      </c>
      <c r="E27" s="90">
        <v>19800</v>
      </c>
      <c r="F27" s="4">
        <v>36234000</v>
      </c>
    </row>
    <row r="28" spans="3:13" x14ac:dyDescent="0.3">
      <c r="C28" t="s">
        <v>501</v>
      </c>
      <c r="D28" s="90">
        <v>11000</v>
      </c>
      <c r="E28" s="90">
        <v>19800</v>
      </c>
      <c r="F28" s="4">
        <v>35640000</v>
      </c>
    </row>
    <row r="29" spans="3:13" x14ac:dyDescent="0.3">
      <c r="C29" t="s">
        <v>500</v>
      </c>
      <c r="D29" s="90">
        <v>11000</v>
      </c>
      <c r="E29" s="90">
        <v>19800</v>
      </c>
      <c r="F29" s="4">
        <v>36531000</v>
      </c>
    </row>
    <row r="30" spans="3:13" x14ac:dyDescent="0.3">
      <c r="C30" t="s">
        <v>499</v>
      </c>
      <c r="D30" s="90">
        <v>11500</v>
      </c>
      <c r="E30" s="90">
        <v>23000</v>
      </c>
      <c r="F30" s="4">
        <v>44981100</v>
      </c>
    </row>
    <row r="31" spans="3:13" x14ac:dyDescent="0.3">
      <c r="C31" t="s">
        <v>498</v>
      </c>
      <c r="D31" s="90">
        <v>11500</v>
      </c>
      <c r="E31" s="90">
        <v>23000</v>
      </c>
      <c r="F31" s="4">
        <v>45880722</v>
      </c>
    </row>
    <row r="32" spans="3:13" x14ac:dyDescent="0.3">
      <c r="C32" t="s">
        <v>497</v>
      </c>
      <c r="D32" s="90">
        <v>11500</v>
      </c>
      <c r="E32" s="90">
        <v>23000</v>
      </c>
      <c r="F32" s="4">
        <v>46339529</v>
      </c>
    </row>
    <row r="33" spans="3:6" x14ac:dyDescent="0.3">
      <c r="C33" t="s">
        <v>496</v>
      </c>
      <c r="D33" s="90">
        <v>11500</v>
      </c>
      <c r="E33" s="90">
        <v>23000</v>
      </c>
      <c r="F33" s="4">
        <v>50973482</v>
      </c>
    </row>
    <row r="34" spans="3:6" x14ac:dyDescent="0.3">
      <c r="C34" t="s">
        <v>495</v>
      </c>
      <c r="D34" s="90">
        <v>12000</v>
      </c>
      <c r="E34" s="90">
        <v>25200</v>
      </c>
      <c r="F34" s="4">
        <v>47471826</v>
      </c>
    </row>
    <row r="35" spans="3:6" x14ac:dyDescent="0.3">
      <c r="C35" t="s">
        <v>494</v>
      </c>
      <c r="D35" s="90">
        <v>12000</v>
      </c>
      <c r="E35" s="90">
        <v>25200</v>
      </c>
      <c r="F35" s="4">
        <v>47946544</v>
      </c>
    </row>
    <row r="36" spans="3:6" x14ac:dyDescent="0.3">
      <c r="C36" t="s">
        <v>493</v>
      </c>
      <c r="D36" s="90">
        <v>12000</v>
      </c>
      <c r="E36" s="90">
        <v>25200</v>
      </c>
      <c r="F36" s="4">
        <v>48426009</v>
      </c>
    </row>
    <row r="37" spans="3:6" x14ac:dyDescent="0.3">
      <c r="C37" t="s">
        <v>492</v>
      </c>
      <c r="D37" s="90">
        <v>12000</v>
      </c>
      <c r="E37" s="90">
        <v>25200</v>
      </c>
      <c r="F37" s="4">
        <v>50847310</v>
      </c>
    </row>
    <row r="38" spans="3:6" x14ac:dyDescent="0.3">
      <c r="C38" t="s">
        <v>491</v>
      </c>
      <c r="D38" s="90">
        <v>12500</v>
      </c>
      <c r="E38" s="90">
        <v>27500</v>
      </c>
      <c r="F38" s="4">
        <v>55488136</v>
      </c>
    </row>
    <row r="39" spans="3:6" x14ac:dyDescent="0.3">
      <c r="C39" t="s">
        <v>490</v>
      </c>
      <c r="D39" s="90">
        <v>12500</v>
      </c>
      <c r="E39" s="90">
        <v>27500</v>
      </c>
      <c r="F39" s="4">
        <v>57152780</v>
      </c>
    </row>
    <row r="40" spans="3:6" x14ac:dyDescent="0.3">
      <c r="C40" t="s">
        <v>489</v>
      </c>
      <c r="D40" s="90">
        <v>12500</v>
      </c>
      <c r="E40" s="90">
        <v>27500</v>
      </c>
      <c r="F40" s="4">
        <v>59438891</v>
      </c>
    </row>
    <row r="41" spans="3:6" x14ac:dyDescent="0.3">
      <c r="C41" t="s">
        <v>488</v>
      </c>
      <c r="D41" s="90">
        <v>12500</v>
      </c>
      <c r="E41" s="90">
        <v>27500</v>
      </c>
      <c r="F41" s="4">
        <v>65977169</v>
      </c>
    </row>
  </sheetData>
  <mergeCells count="3">
    <mergeCell ref="C10:F10"/>
    <mergeCell ref="C22:G22"/>
    <mergeCell ref="I22:M22"/>
  </mergeCell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95997-D222-48F1-ADB1-5F3355C4126A}">
  <sheetPr>
    <tabColor theme="9" tint="0.59999389629810485"/>
  </sheetPr>
  <dimension ref="A1:O41"/>
  <sheetViews>
    <sheetView workbookViewId="0">
      <selection activeCell="I48" sqref="I48"/>
    </sheetView>
  </sheetViews>
  <sheetFormatPr defaultRowHeight="14.4" x14ac:dyDescent="0.3"/>
  <cols>
    <col min="6" max="6" width="11.88671875" customWidth="1"/>
    <col min="9" max="13" width="13.5546875" customWidth="1"/>
    <col min="14" max="14" width="14.6640625" customWidth="1"/>
  </cols>
  <sheetData>
    <row r="1" spans="1:8" ht="15" thickBot="1" x14ac:dyDescent="0.35">
      <c r="A1" t="s">
        <v>509</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21" spans="3:15" ht="15" thickBot="1" x14ac:dyDescent="0.35"/>
    <row r="22" spans="3:15" ht="15" thickBot="1" x14ac:dyDescent="0.35">
      <c r="C22" s="375" t="s">
        <v>4</v>
      </c>
      <c r="D22" s="376"/>
      <c r="E22" s="376"/>
      <c r="F22" s="376"/>
      <c r="G22" s="377"/>
      <c r="I22" s="375" t="s">
        <v>3</v>
      </c>
      <c r="J22" s="376"/>
      <c r="K22" s="376"/>
      <c r="L22" s="376"/>
      <c r="M22" s="377"/>
    </row>
    <row r="24" spans="3:15" x14ac:dyDescent="0.3">
      <c r="C24" t="s">
        <v>508</v>
      </c>
    </row>
    <row r="25" spans="3:15" x14ac:dyDescent="0.3">
      <c r="C25" t="s">
        <v>507</v>
      </c>
      <c r="D25" t="s">
        <v>506</v>
      </c>
      <c r="E25" t="s">
        <v>505</v>
      </c>
      <c r="F25" t="s">
        <v>504</v>
      </c>
      <c r="I25" s="23" t="str">
        <f t="shared" ref="I25:I41" si="0">C25</f>
        <v>Quarter</v>
      </c>
      <c r="J25" s="23" t="s">
        <v>776</v>
      </c>
      <c r="K25" s="23" t="s">
        <v>879</v>
      </c>
      <c r="M25" s="23" t="s">
        <v>288</v>
      </c>
      <c r="N25" s="23" t="s">
        <v>776</v>
      </c>
      <c r="O25" s="23" t="s">
        <v>878</v>
      </c>
    </row>
    <row r="26" spans="3:15" x14ac:dyDescent="0.3">
      <c r="C26" t="s">
        <v>503</v>
      </c>
      <c r="D26" s="90">
        <v>11000</v>
      </c>
      <c r="E26" s="90">
        <v>19800</v>
      </c>
      <c r="F26" s="4">
        <v>35640000</v>
      </c>
      <c r="I26" s="14" t="str">
        <f t="shared" si="0"/>
        <v>1Q 20X1</v>
      </c>
      <c r="J26" s="1">
        <f t="shared" ref="J26:J41" si="1">F26/(E26*3)</f>
        <v>600</v>
      </c>
      <c r="K26" s="14"/>
      <c r="M26" s="14" t="str">
        <f>RIGHT(C29,4)</f>
        <v>20X1</v>
      </c>
      <c r="N26" s="15">
        <f>SUM(F26:F29)/(3*SUM(E26:E29))</f>
        <v>606.25</v>
      </c>
      <c r="O26" s="14"/>
    </row>
    <row r="27" spans="3:15" x14ac:dyDescent="0.3">
      <c r="C27" t="s">
        <v>502</v>
      </c>
      <c r="D27" s="90">
        <v>11000</v>
      </c>
      <c r="E27" s="90">
        <v>19800</v>
      </c>
      <c r="F27" s="4">
        <v>36234000</v>
      </c>
      <c r="I27" s="14" t="str">
        <f t="shared" si="0"/>
        <v>2Q 20X1</v>
      </c>
      <c r="J27" s="1">
        <f t="shared" si="1"/>
        <v>610</v>
      </c>
      <c r="K27" s="14"/>
      <c r="M27" s="14" t="str">
        <f>RIGHT(C33,4)</f>
        <v>20X2</v>
      </c>
      <c r="N27" s="15">
        <f>SUM(F30:F33)/(3*SUM(E30:E33))</f>
        <v>681.79287318840579</v>
      </c>
      <c r="O27" s="224">
        <f>N27/N26-1</f>
        <v>0.12460680113551481</v>
      </c>
    </row>
    <row r="28" spans="3:15" x14ac:dyDescent="0.3">
      <c r="C28" t="s">
        <v>501</v>
      </c>
      <c r="D28" s="90">
        <v>11000</v>
      </c>
      <c r="E28" s="90">
        <v>19800</v>
      </c>
      <c r="F28" s="4">
        <v>35640000</v>
      </c>
      <c r="I28" s="14" t="str">
        <f t="shared" si="0"/>
        <v>3Q 20X1</v>
      </c>
      <c r="J28" s="1">
        <f t="shared" si="1"/>
        <v>600</v>
      </c>
      <c r="K28" s="14"/>
      <c r="M28" s="14" t="str">
        <f>RIGHT(C37,4)</f>
        <v>20X3</v>
      </c>
      <c r="N28" s="15">
        <f>SUM(F34:F37)/(3*SUM(E34:E37))</f>
        <v>643.82172288359789</v>
      </c>
      <c r="O28" s="224">
        <f>N28/N27-1</f>
        <v>-5.5693087736801594E-2</v>
      </c>
    </row>
    <row r="29" spans="3:15" x14ac:dyDescent="0.3">
      <c r="C29" t="s">
        <v>500</v>
      </c>
      <c r="D29" s="90">
        <v>11000</v>
      </c>
      <c r="E29" s="90">
        <v>19800</v>
      </c>
      <c r="F29" s="4">
        <v>36531000</v>
      </c>
      <c r="I29" s="14" t="str">
        <f t="shared" si="0"/>
        <v>4Q 20X1</v>
      </c>
      <c r="J29" s="1">
        <f t="shared" si="1"/>
        <v>615</v>
      </c>
      <c r="K29" s="14"/>
      <c r="M29" s="14" t="str">
        <f>RIGHT(C41,4)</f>
        <v>20X4</v>
      </c>
      <c r="N29" s="15">
        <f>SUM(F38:F41)/(3*SUM(E38:E41))</f>
        <v>721.38477575757577</v>
      </c>
      <c r="O29" s="224">
        <f>N29/N28-1</f>
        <v>0.12047287333919487</v>
      </c>
    </row>
    <row r="30" spans="3:15" x14ac:dyDescent="0.3">
      <c r="C30" t="s">
        <v>499</v>
      </c>
      <c r="D30" s="90">
        <v>11500</v>
      </c>
      <c r="E30" s="90">
        <v>23000</v>
      </c>
      <c r="F30" s="4">
        <v>44981100</v>
      </c>
      <c r="I30" s="14" t="str">
        <f t="shared" si="0"/>
        <v>1Q 20X2</v>
      </c>
      <c r="J30" s="1">
        <f t="shared" si="1"/>
        <v>651.9</v>
      </c>
      <c r="K30" s="224">
        <f t="shared" ref="K30:K41" si="2">J30/J26-1</f>
        <v>8.6500000000000021E-2</v>
      </c>
      <c r="M30" s="14"/>
      <c r="N30" s="15"/>
      <c r="O30" s="14"/>
    </row>
    <row r="31" spans="3:15" x14ac:dyDescent="0.3">
      <c r="C31" t="s">
        <v>498</v>
      </c>
      <c r="D31" s="90">
        <v>11500</v>
      </c>
      <c r="E31" s="90">
        <v>23000</v>
      </c>
      <c r="F31" s="4">
        <v>45880722</v>
      </c>
      <c r="I31" s="14" t="str">
        <f t="shared" si="0"/>
        <v>2Q 20X2</v>
      </c>
      <c r="J31" s="1">
        <f t="shared" si="1"/>
        <v>664.93799999999999</v>
      </c>
      <c r="K31" s="224">
        <f t="shared" si="2"/>
        <v>9.006229508196717E-2</v>
      </c>
      <c r="M31" s="14"/>
      <c r="N31" s="15"/>
      <c r="O31" s="14"/>
    </row>
    <row r="32" spans="3:15" x14ac:dyDescent="0.3">
      <c r="C32" t="s">
        <v>497</v>
      </c>
      <c r="D32" s="90">
        <v>11500</v>
      </c>
      <c r="E32" s="90">
        <v>23000</v>
      </c>
      <c r="F32" s="4">
        <v>46339529</v>
      </c>
      <c r="I32" s="14" t="str">
        <f t="shared" si="0"/>
        <v>3Q 20X2</v>
      </c>
      <c r="J32" s="1">
        <f t="shared" si="1"/>
        <v>671.58737681159425</v>
      </c>
      <c r="K32" s="224">
        <f t="shared" si="2"/>
        <v>0.11931229468599036</v>
      </c>
    </row>
    <row r="33" spans="3:15" x14ac:dyDescent="0.3">
      <c r="C33" t="s">
        <v>496</v>
      </c>
      <c r="D33" s="90">
        <v>11500</v>
      </c>
      <c r="E33" s="90">
        <v>23000</v>
      </c>
      <c r="F33" s="4">
        <v>50973482</v>
      </c>
      <c r="I33" s="14" t="str">
        <f t="shared" si="0"/>
        <v>4Q 20X2</v>
      </c>
      <c r="J33" s="1">
        <f t="shared" si="1"/>
        <v>738.74611594202895</v>
      </c>
      <c r="K33" s="224">
        <f t="shared" si="2"/>
        <v>0.20121319665370563</v>
      </c>
    </row>
    <row r="34" spans="3:15" x14ac:dyDescent="0.3">
      <c r="C34" t="s">
        <v>495</v>
      </c>
      <c r="D34" s="90">
        <v>12000</v>
      </c>
      <c r="E34" s="90">
        <v>25200</v>
      </c>
      <c r="F34" s="4">
        <v>47471826</v>
      </c>
      <c r="I34" s="14" t="str">
        <f t="shared" si="0"/>
        <v>1Q 20X3</v>
      </c>
      <c r="J34" s="1">
        <f t="shared" si="1"/>
        <v>627.93420634920631</v>
      </c>
      <c r="K34" s="224">
        <f t="shared" si="2"/>
        <v>-3.6762990720652922E-2</v>
      </c>
    </row>
    <row r="35" spans="3:15" x14ac:dyDescent="0.3">
      <c r="C35" t="s">
        <v>494</v>
      </c>
      <c r="D35" s="90">
        <v>12000</v>
      </c>
      <c r="E35" s="90">
        <v>25200</v>
      </c>
      <c r="F35" s="4">
        <v>47946544</v>
      </c>
      <c r="I35" s="14" t="str">
        <f t="shared" si="0"/>
        <v>2Q 20X3</v>
      </c>
      <c r="J35" s="1">
        <f t="shared" si="1"/>
        <v>634.21354497354503</v>
      </c>
      <c r="K35" s="224">
        <f t="shared" si="2"/>
        <v>-4.6206495983768359E-2</v>
      </c>
    </row>
    <row r="36" spans="3:15" x14ac:dyDescent="0.3">
      <c r="C36" t="s">
        <v>493</v>
      </c>
      <c r="D36" s="90">
        <v>12000</v>
      </c>
      <c r="E36" s="90">
        <v>25200</v>
      </c>
      <c r="F36" s="4">
        <v>48426009</v>
      </c>
      <c r="I36" s="14" t="str">
        <f t="shared" si="0"/>
        <v>3Q 20X3</v>
      </c>
      <c r="J36" s="1">
        <f t="shared" si="1"/>
        <v>640.55567460317457</v>
      </c>
      <c r="K36" s="224">
        <f t="shared" si="2"/>
        <v>-4.6206500121763416E-2</v>
      </c>
      <c r="M36" s="14"/>
      <c r="N36" s="15"/>
      <c r="O36" s="14"/>
    </row>
    <row r="37" spans="3:15" x14ac:dyDescent="0.3">
      <c r="C37" t="s">
        <v>492</v>
      </c>
      <c r="D37" s="90">
        <v>12000</v>
      </c>
      <c r="E37" s="90">
        <v>25200</v>
      </c>
      <c r="F37" s="4">
        <v>50847310</v>
      </c>
      <c r="I37" s="14" t="str">
        <f t="shared" si="0"/>
        <v>4Q 20X3</v>
      </c>
      <c r="J37" s="1">
        <f t="shared" si="1"/>
        <v>672.58346560846564</v>
      </c>
      <c r="K37" s="224">
        <f t="shared" si="2"/>
        <v>-8.9560742054385578E-2</v>
      </c>
    </row>
    <row r="38" spans="3:15" x14ac:dyDescent="0.3">
      <c r="C38" t="s">
        <v>491</v>
      </c>
      <c r="D38" s="90">
        <v>12500</v>
      </c>
      <c r="E38" s="90">
        <v>27500</v>
      </c>
      <c r="F38" s="4">
        <v>55488136</v>
      </c>
      <c r="I38" s="14" t="str">
        <f t="shared" si="0"/>
        <v>1Q 20X4</v>
      </c>
      <c r="J38" s="1">
        <f t="shared" si="1"/>
        <v>672.58346666666671</v>
      </c>
      <c r="K38" s="224">
        <f t="shared" si="2"/>
        <v>7.1104997730654151E-2</v>
      </c>
      <c r="M38" s="14"/>
      <c r="N38" s="15"/>
      <c r="O38" s="14"/>
    </row>
    <row r="39" spans="3:15" x14ac:dyDescent="0.3">
      <c r="C39" t="s">
        <v>490</v>
      </c>
      <c r="D39" s="90">
        <v>12500</v>
      </c>
      <c r="E39" s="90">
        <v>27500</v>
      </c>
      <c r="F39" s="4">
        <v>57152780</v>
      </c>
      <c r="I39" s="14" t="str">
        <f t="shared" si="0"/>
        <v>2Q 20X4</v>
      </c>
      <c r="J39" s="1">
        <f t="shared" si="1"/>
        <v>692.76096969696971</v>
      </c>
      <c r="K39" s="224">
        <f t="shared" si="2"/>
        <v>9.2315002080043618E-2</v>
      </c>
      <c r="M39" s="14"/>
      <c r="N39" s="15"/>
      <c r="O39" s="14"/>
    </row>
    <row r="40" spans="3:15" x14ac:dyDescent="0.3">
      <c r="C40" t="s">
        <v>489</v>
      </c>
      <c r="D40" s="90">
        <v>12500</v>
      </c>
      <c r="E40" s="90">
        <v>27500</v>
      </c>
      <c r="F40" s="4">
        <v>59438891</v>
      </c>
      <c r="I40" s="14" t="str">
        <f t="shared" si="0"/>
        <v>3Q 20X4</v>
      </c>
      <c r="J40" s="1">
        <f t="shared" si="1"/>
        <v>720.47140606060611</v>
      </c>
      <c r="K40" s="224">
        <f t="shared" si="2"/>
        <v>0.12476000857683367</v>
      </c>
      <c r="M40" s="14"/>
      <c r="N40" s="15"/>
      <c r="O40" s="14"/>
    </row>
    <row r="41" spans="3:15" x14ac:dyDescent="0.3">
      <c r="C41" t="s">
        <v>488</v>
      </c>
      <c r="D41" s="90">
        <v>12500</v>
      </c>
      <c r="E41" s="90">
        <v>27500</v>
      </c>
      <c r="F41" s="4">
        <v>65977169</v>
      </c>
      <c r="I41" s="14" t="str">
        <f t="shared" si="0"/>
        <v>4Q 20X4</v>
      </c>
      <c r="J41" s="1">
        <f t="shared" si="1"/>
        <v>799.72326060606065</v>
      </c>
      <c r="K41" s="224">
        <f t="shared" si="2"/>
        <v>0.18903199602531928</v>
      </c>
    </row>
  </sheetData>
  <mergeCells count="3">
    <mergeCell ref="C10:F10"/>
    <mergeCell ref="C22:G22"/>
    <mergeCell ref="I22:M2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C54B1-220C-41AF-86FB-8F96B20CA4CB}">
  <sheetPr>
    <tabColor theme="9" tint="0.59999389629810485"/>
  </sheetPr>
  <dimension ref="A1:N37"/>
  <sheetViews>
    <sheetView workbookViewId="0">
      <selection activeCell="D43" sqref="D43"/>
    </sheetView>
  </sheetViews>
  <sheetFormatPr defaultRowHeight="14.4" x14ac:dyDescent="0.3"/>
  <sheetData>
    <row r="1" spans="1:8" ht="15" thickBot="1" x14ac:dyDescent="0.35">
      <c r="A1" t="s">
        <v>14</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3" spans="1:8" x14ac:dyDescent="0.3">
      <c r="D13" t="s">
        <v>7</v>
      </c>
    </row>
    <row r="14" spans="1:8" x14ac:dyDescent="0.3">
      <c r="C14">
        <v>0.05</v>
      </c>
      <c r="D14" t="s">
        <v>6</v>
      </c>
    </row>
    <row r="16" spans="1:8" x14ac:dyDescent="0.3">
      <c r="C16" s="4">
        <v>1500</v>
      </c>
      <c r="D16" t="s">
        <v>5</v>
      </c>
    </row>
    <row r="21" spans="3:13" ht="15" thickBot="1" x14ac:dyDescent="0.35"/>
    <row r="22" spans="3:13" ht="15" thickBot="1" x14ac:dyDescent="0.35">
      <c r="C22" s="375" t="s">
        <v>4</v>
      </c>
      <c r="D22" s="376"/>
      <c r="E22" s="376"/>
      <c r="F22" s="376"/>
      <c r="G22" s="377"/>
      <c r="I22" s="375" t="s">
        <v>3</v>
      </c>
      <c r="J22" s="376"/>
      <c r="K22" s="376"/>
      <c r="L22" s="376"/>
      <c r="M22" s="377"/>
    </row>
    <row r="24" spans="3:13" x14ac:dyDescent="0.3">
      <c r="C24" t="s">
        <v>2</v>
      </c>
      <c r="J24" s="378" t="s">
        <v>17</v>
      </c>
      <c r="K24" s="378"/>
      <c r="L24" s="379" t="s">
        <v>16</v>
      </c>
      <c r="M24" s="378"/>
    </row>
    <row r="25" spans="3:13" x14ac:dyDescent="0.3">
      <c r="I25" s="14"/>
      <c r="J25" s="23">
        <v>2019</v>
      </c>
      <c r="K25" s="23">
        <v>2020</v>
      </c>
      <c r="L25" s="24">
        <v>2019</v>
      </c>
      <c r="M25" s="23">
        <v>2020</v>
      </c>
    </row>
    <row r="26" spans="3:13" ht="31.35" customHeight="1" x14ac:dyDescent="0.3">
      <c r="C26" s="3" t="s">
        <v>1</v>
      </c>
      <c r="D26" s="3" t="s">
        <v>0</v>
      </c>
      <c r="I26" s="21" t="str">
        <f t="shared" ref="I26:J32" si="0">C26</f>
        <v>Percent of Members</v>
      </c>
      <c r="J26" s="21" t="str">
        <f t="shared" si="0"/>
        <v>Claims Cost</v>
      </c>
      <c r="K26" s="21" t="str">
        <f>D26</f>
        <v>Claims Cost</v>
      </c>
      <c r="L26" s="22" t="s">
        <v>0</v>
      </c>
      <c r="M26" s="21" t="s">
        <v>0</v>
      </c>
    </row>
    <row r="27" spans="3:13" x14ac:dyDescent="0.3">
      <c r="C27" s="2">
        <v>0.3</v>
      </c>
      <c r="D27" s="1">
        <v>0</v>
      </c>
      <c r="I27" s="2">
        <f t="shared" si="0"/>
        <v>0.3</v>
      </c>
      <c r="J27" s="1">
        <f t="shared" si="0"/>
        <v>0</v>
      </c>
      <c r="K27" s="1">
        <f t="shared" ref="K27:K32" si="1">D27*(1+$C$14)</f>
        <v>0</v>
      </c>
      <c r="L27" s="20">
        <f>MIN((J27,$C$16))</f>
        <v>0</v>
      </c>
      <c r="M27" s="1">
        <f>MIN((K27,$C$16))</f>
        <v>0</v>
      </c>
    </row>
    <row r="28" spans="3:13" x14ac:dyDescent="0.3">
      <c r="C28" s="2">
        <v>0.25</v>
      </c>
      <c r="D28" s="1">
        <v>20</v>
      </c>
      <c r="I28" s="2">
        <f t="shared" si="0"/>
        <v>0.25</v>
      </c>
      <c r="J28" s="1">
        <f t="shared" si="0"/>
        <v>20</v>
      </c>
      <c r="K28" s="1">
        <f t="shared" si="1"/>
        <v>21</v>
      </c>
      <c r="L28" s="20">
        <f>MIN((J28,$C$16))</f>
        <v>20</v>
      </c>
      <c r="M28" s="1">
        <f>MIN((K28,$C$16))</f>
        <v>21</v>
      </c>
    </row>
    <row r="29" spans="3:13" x14ac:dyDescent="0.3">
      <c r="C29" s="2">
        <v>0.2</v>
      </c>
      <c r="D29" s="1">
        <v>70</v>
      </c>
      <c r="I29" s="2">
        <f t="shared" si="0"/>
        <v>0.2</v>
      </c>
      <c r="J29" s="1">
        <f t="shared" si="0"/>
        <v>70</v>
      </c>
      <c r="K29" s="1">
        <f t="shared" si="1"/>
        <v>73.5</v>
      </c>
      <c r="L29" s="20">
        <f>MIN((J29,$C$16))</f>
        <v>70</v>
      </c>
      <c r="M29" s="1">
        <f>MIN((K29,$C$16))</f>
        <v>73.5</v>
      </c>
    </row>
    <row r="30" spans="3:13" x14ac:dyDescent="0.3">
      <c r="C30" s="2">
        <v>0.15</v>
      </c>
      <c r="D30" s="1">
        <v>250</v>
      </c>
      <c r="I30" s="2">
        <f t="shared" si="0"/>
        <v>0.15</v>
      </c>
      <c r="J30" s="1">
        <f t="shared" si="0"/>
        <v>250</v>
      </c>
      <c r="K30" s="1">
        <f t="shared" si="1"/>
        <v>262.5</v>
      </c>
      <c r="L30" s="20">
        <f>MIN((J30,$C$16))</f>
        <v>250</v>
      </c>
      <c r="M30" s="1">
        <f>MIN((K30,$C$16))</f>
        <v>262.5</v>
      </c>
    </row>
    <row r="31" spans="3:13" x14ac:dyDescent="0.3">
      <c r="C31" s="2">
        <v>0.09</v>
      </c>
      <c r="D31" s="1">
        <v>800</v>
      </c>
      <c r="I31" s="2">
        <f t="shared" si="0"/>
        <v>0.09</v>
      </c>
      <c r="J31" s="1">
        <f t="shared" si="0"/>
        <v>800</v>
      </c>
      <c r="K31" s="1">
        <f t="shared" si="1"/>
        <v>840</v>
      </c>
      <c r="L31" s="20">
        <f>MIN((J31,$C$16))</f>
        <v>800</v>
      </c>
      <c r="M31" s="1">
        <f>MIN((K31,$C$16))</f>
        <v>840</v>
      </c>
    </row>
    <row r="32" spans="3:13" x14ac:dyDescent="0.3">
      <c r="C32" s="2">
        <v>0.01</v>
      </c>
      <c r="D32" s="1">
        <v>2000</v>
      </c>
      <c r="I32" s="19">
        <f t="shared" si="0"/>
        <v>0.01</v>
      </c>
      <c r="J32" s="17">
        <f t="shared" si="0"/>
        <v>2000</v>
      </c>
      <c r="K32" s="17">
        <f t="shared" si="1"/>
        <v>2100</v>
      </c>
      <c r="L32" s="18">
        <f>MIN((J32,$C$16))</f>
        <v>1500</v>
      </c>
      <c r="M32" s="17">
        <f>MIN((K32,$C$16))</f>
        <v>1500</v>
      </c>
    </row>
    <row r="33" spans="9:14" x14ac:dyDescent="0.3">
      <c r="I33" s="14"/>
      <c r="J33" s="15">
        <f>SUMPRODUCT(J27:J32,$I$27:$I$32)</f>
        <v>148.5</v>
      </c>
      <c r="K33" s="15">
        <f>SUMPRODUCT(K27:K32,$I$27:$I$32)</f>
        <v>155.92500000000001</v>
      </c>
      <c r="L33" s="16">
        <f>SUMPRODUCT(L27:L32,$I$27:$I$32)</f>
        <v>143.5</v>
      </c>
      <c r="M33" s="15">
        <f>SUMPRODUCT(M27:M32,$I$27:$I$32)</f>
        <v>149.92500000000001</v>
      </c>
    </row>
    <row r="34" spans="9:14" x14ac:dyDescent="0.3">
      <c r="I34" s="14"/>
      <c r="J34" s="14"/>
      <c r="K34" s="14"/>
      <c r="L34" s="14"/>
      <c r="M34" s="14"/>
    </row>
    <row r="35" spans="9:14" x14ac:dyDescent="0.3">
      <c r="I35" s="14"/>
      <c r="J35" s="14"/>
      <c r="K35" s="13">
        <f>K33/J33-1</f>
        <v>5.0000000000000044E-2</v>
      </c>
      <c r="L35" s="14"/>
      <c r="M35" s="13">
        <f>M33/L33-1</f>
        <v>4.4773519163763043E-2</v>
      </c>
    </row>
    <row r="37" spans="9:14" x14ac:dyDescent="0.3">
      <c r="M37" s="12">
        <f>K35-M35</f>
        <v>5.2264808362370019E-3</v>
      </c>
      <c r="N37" t="s">
        <v>15</v>
      </c>
    </row>
  </sheetData>
  <mergeCells count="5">
    <mergeCell ref="C10:F10"/>
    <mergeCell ref="C22:G22"/>
    <mergeCell ref="I22:M22"/>
    <mergeCell ref="J24:K24"/>
    <mergeCell ref="L24:M24"/>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B86F7-C2A3-4560-9C81-24B3C1B54BB0}">
  <sheetPr>
    <tabColor theme="5" tint="0.39997558519241921"/>
  </sheetPr>
  <dimension ref="A1:M48"/>
  <sheetViews>
    <sheetView workbookViewId="0">
      <selection activeCell="B5" sqref="B5"/>
    </sheetView>
  </sheetViews>
  <sheetFormatPr defaultColWidth="9.21875" defaultRowHeight="14.4" x14ac:dyDescent="0.3"/>
  <cols>
    <col min="1" max="9" width="9.21875" style="121"/>
    <col min="10" max="10" width="11.44140625" style="121" bestFit="1" customWidth="1"/>
    <col min="11" max="11" width="14.88671875" style="121" customWidth="1"/>
    <col min="12" max="16384" width="9.21875" style="121"/>
  </cols>
  <sheetData>
    <row r="1" spans="1:8" ht="15" thickBot="1" x14ac:dyDescent="0.35">
      <c r="A1" s="121" t="s">
        <v>524</v>
      </c>
      <c r="G1" s="11" t="s">
        <v>13</v>
      </c>
      <c r="H1" s="129"/>
    </row>
    <row r="2" spans="1:8" x14ac:dyDescent="0.3">
      <c r="G2" s="128" t="s">
        <v>12</v>
      </c>
      <c r="H2" s="128"/>
    </row>
    <row r="3" spans="1:8" ht="15" thickBot="1" x14ac:dyDescent="0.35">
      <c r="G3" s="8" t="s">
        <v>11</v>
      </c>
      <c r="H3" s="8"/>
    </row>
    <row r="4" spans="1:8" ht="15.6" thickTop="1" thickBot="1" x14ac:dyDescent="0.35">
      <c r="G4" s="7" t="s">
        <v>10</v>
      </c>
      <c r="H4" s="7"/>
    </row>
    <row r="5" spans="1:8" ht="15" thickTop="1" x14ac:dyDescent="0.3">
      <c r="G5" s="127" t="s">
        <v>9</v>
      </c>
      <c r="H5" s="126"/>
    </row>
    <row r="9" spans="1:8" ht="15" thickBot="1" x14ac:dyDescent="0.35"/>
    <row r="10" spans="1:8" ht="15" thickBot="1" x14ac:dyDescent="0.35">
      <c r="C10" s="375" t="s">
        <v>8</v>
      </c>
      <c r="D10" s="376"/>
      <c r="E10" s="376"/>
      <c r="F10" s="377"/>
    </row>
    <row r="21" spans="3:13" ht="15" thickBot="1" x14ac:dyDescent="0.35"/>
    <row r="22" spans="3:13" ht="15" thickBot="1" x14ac:dyDescent="0.35">
      <c r="C22" s="375" t="s">
        <v>4</v>
      </c>
      <c r="D22" s="376"/>
      <c r="E22" s="376"/>
      <c r="F22" s="376"/>
      <c r="G22" s="377"/>
      <c r="I22" s="375" t="s">
        <v>3</v>
      </c>
      <c r="J22" s="376"/>
      <c r="K22" s="376"/>
      <c r="L22" s="376"/>
      <c r="M22" s="377"/>
    </row>
    <row r="24" spans="3:13" x14ac:dyDescent="0.3">
      <c r="C24" s="121" t="s">
        <v>523</v>
      </c>
    </row>
    <row r="25" spans="3:13" x14ac:dyDescent="0.3">
      <c r="C25" s="121" t="s">
        <v>87</v>
      </c>
      <c r="D25" s="121" t="s">
        <v>522</v>
      </c>
    </row>
    <row r="26" spans="3:13" x14ac:dyDescent="0.3">
      <c r="C26" s="121" t="s">
        <v>22</v>
      </c>
      <c r="D26" s="124">
        <v>10</v>
      </c>
    </row>
    <row r="27" spans="3:13" x14ac:dyDescent="0.3">
      <c r="C27" s="121" t="s">
        <v>510</v>
      </c>
      <c r="D27" s="124">
        <v>30</v>
      </c>
    </row>
    <row r="29" spans="3:13" x14ac:dyDescent="0.3">
      <c r="C29" s="121" t="s">
        <v>521</v>
      </c>
    </row>
    <row r="30" spans="3:13" x14ac:dyDescent="0.3">
      <c r="C30" s="121" t="s">
        <v>520</v>
      </c>
      <c r="D30" s="121" t="s">
        <v>22</v>
      </c>
      <c r="E30" s="121" t="s">
        <v>510</v>
      </c>
    </row>
    <row r="31" spans="3:13" x14ac:dyDescent="0.3">
      <c r="C31" s="121" t="s">
        <v>519</v>
      </c>
      <c r="D31" s="123">
        <v>0</v>
      </c>
      <c r="E31" s="123">
        <v>0.03</v>
      </c>
    </row>
    <row r="32" spans="3:13" x14ac:dyDescent="0.3">
      <c r="C32" s="121" t="s">
        <v>518</v>
      </c>
      <c r="D32" s="123">
        <v>-0.02</v>
      </c>
      <c r="E32" s="123">
        <v>0.12</v>
      </c>
    </row>
    <row r="34" spans="3:5" x14ac:dyDescent="0.3">
      <c r="C34" s="121" t="s">
        <v>517</v>
      </c>
    </row>
    <row r="35" spans="3:5" x14ac:dyDescent="0.3">
      <c r="C35" s="121" t="s">
        <v>87</v>
      </c>
      <c r="D35" s="121" t="s">
        <v>425</v>
      </c>
      <c r="E35" s="121" t="s">
        <v>516</v>
      </c>
    </row>
    <row r="36" spans="3:5" x14ac:dyDescent="0.3">
      <c r="C36" s="121" t="s">
        <v>510</v>
      </c>
      <c r="D36" s="121">
        <v>500</v>
      </c>
      <c r="E36" s="124">
        <v>100000</v>
      </c>
    </row>
    <row r="37" spans="3:5" x14ac:dyDescent="0.3">
      <c r="C37" s="121" t="s">
        <v>22</v>
      </c>
      <c r="D37" s="125">
        <v>1000</v>
      </c>
      <c r="E37" s="124">
        <v>50000</v>
      </c>
    </row>
    <row r="38" spans="3:5" x14ac:dyDescent="0.3">
      <c r="C38" s="121" t="s">
        <v>247</v>
      </c>
      <c r="D38" s="125">
        <v>1500</v>
      </c>
      <c r="E38" s="124">
        <v>150000</v>
      </c>
    </row>
    <row r="40" spans="3:5" x14ac:dyDescent="0.3">
      <c r="C40" s="121" t="s">
        <v>515</v>
      </c>
    </row>
    <row r="41" spans="3:5" x14ac:dyDescent="0.3">
      <c r="C41" s="121" t="s">
        <v>514</v>
      </c>
    </row>
    <row r="42" spans="3:5" x14ac:dyDescent="0.3">
      <c r="C42" s="121" t="s">
        <v>87</v>
      </c>
      <c r="D42" s="121" t="s">
        <v>512</v>
      </c>
      <c r="E42" s="121" t="s">
        <v>511</v>
      </c>
    </row>
    <row r="43" spans="3:5" x14ac:dyDescent="0.3">
      <c r="C43" s="121" t="s">
        <v>22</v>
      </c>
      <c r="D43" s="123">
        <v>0.75</v>
      </c>
      <c r="E43" s="123">
        <v>0.77</v>
      </c>
    </row>
    <row r="44" spans="3:5" x14ac:dyDescent="0.3">
      <c r="C44" s="121" t="s">
        <v>510</v>
      </c>
      <c r="D44" s="123">
        <v>0.1</v>
      </c>
      <c r="E44" s="123">
        <v>0.12</v>
      </c>
    </row>
    <row r="45" spans="3:5" x14ac:dyDescent="0.3">
      <c r="C45" s="121" t="s">
        <v>513</v>
      </c>
    </row>
    <row r="46" spans="3:5" x14ac:dyDescent="0.3">
      <c r="C46" s="121" t="s">
        <v>87</v>
      </c>
      <c r="D46" s="121" t="s">
        <v>512</v>
      </c>
      <c r="E46" s="121" t="s">
        <v>511</v>
      </c>
    </row>
    <row r="47" spans="3:5" x14ac:dyDescent="0.3">
      <c r="C47" s="121" t="s">
        <v>22</v>
      </c>
      <c r="D47" s="122">
        <v>0.5</v>
      </c>
      <c r="E47" s="122">
        <v>0.5</v>
      </c>
    </row>
    <row r="48" spans="3:5" x14ac:dyDescent="0.3">
      <c r="C48" s="121" t="s">
        <v>510</v>
      </c>
      <c r="D48" s="122">
        <v>1</v>
      </c>
      <c r="E48" s="122">
        <v>1</v>
      </c>
    </row>
  </sheetData>
  <mergeCells count="3">
    <mergeCell ref="C10:F10"/>
    <mergeCell ref="C22:G22"/>
    <mergeCell ref="I22:M22"/>
  </mergeCell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46AAE-6944-4BFF-B6AE-5520B6E8F50A}">
  <sheetPr>
    <tabColor theme="9" tint="0.59999389629810485"/>
  </sheetPr>
  <dimension ref="A1:M48"/>
  <sheetViews>
    <sheetView workbookViewId="0">
      <selection activeCell="I48" sqref="I48"/>
    </sheetView>
  </sheetViews>
  <sheetFormatPr defaultColWidth="9.21875" defaultRowHeight="14.4" x14ac:dyDescent="0.3"/>
  <cols>
    <col min="1" max="9" width="9.21875" style="121"/>
    <col min="10" max="10" width="11.44140625" style="121" bestFit="1" customWidth="1"/>
    <col min="11" max="11" width="14.88671875" style="121" customWidth="1"/>
    <col min="12" max="16384" width="9.21875" style="121"/>
  </cols>
  <sheetData>
    <row r="1" spans="1:8" ht="15" thickBot="1" x14ac:dyDescent="0.35">
      <c r="A1" s="121" t="s">
        <v>524</v>
      </c>
      <c r="G1" s="11" t="s">
        <v>13</v>
      </c>
      <c r="H1" s="129"/>
    </row>
    <row r="2" spans="1:8" x14ac:dyDescent="0.3">
      <c r="G2" s="128" t="s">
        <v>12</v>
      </c>
      <c r="H2" s="128"/>
    </row>
    <row r="3" spans="1:8" ht="15" thickBot="1" x14ac:dyDescent="0.35">
      <c r="G3" s="8" t="s">
        <v>11</v>
      </c>
      <c r="H3" s="8"/>
    </row>
    <row r="4" spans="1:8" ht="15.6" thickTop="1" thickBot="1" x14ac:dyDescent="0.35">
      <c r="G4" s="7" t="s">
        <v>10</v>
      </c>
      <c r="H4" s="7"/>
    </row>
    <row r="5" spans="1:8" ht="15" thickTop="1" x14ac:dyDescent="0.3">
      <c r="G5" s="127" t="s">
        <v>9</v>
      </c>
      <c r="H5" s="126"/>
    </row>
    <row r="9" spans="1:8" ht="15" thickBot="1" x14ac:dyDescent="0.35"/>
    <row r="10" spans="1:8" ht="15" thickBot="1" x14ac:dyDescent="0.35">
      <c r="C10" s="375" t="s">
        <v>8</v>
      </c>
      <c r="D10" s="376"/>
      <c r="E10" s="376"/>
      <c r="F10" s="377"/>
    </row>
    <row r="21" spans="3:13" ht="15" thickBot="1" x14ac:dyDescent="0.35"/>
    <row r="22" spans="3:13" ht="15" thickBot="1" x14ac:dyDescent="0.35">
      <c r="C22" s="375" t="s">
        <v>4</v>
      </c>
      <c r="D22" s="376"/>
      <c r="E22" s="376"/>
      <c r="F22" s="376"/>
      <c r="G22" s="377"/>
      <c r="I22" s="375" t="s">
        <v>3</v>
      </c>
      <c r="J22" s="376"/>
      <c r="K22" s="376"/>
      <c r="L22" s="376"/>
      <c r="M22" s="377"/>
    </row>
    <row r="24" spans="3:13" x14ac:dyDescent="0.3">
      <c r="C24" s="121" t="s">
        <v>523</v>
      </c>
      <c r="I24" s="227"/>
      <c r="J24" s="229" t="s">
        <v>431</v>
      </c>
      <c r="K24" s="229" t="s">
        <v>239</v>
      </c>
    </row>
    <row r="25" spans="3:13" x14ac:dyDescent="0.3">
      <c r="C25" s="121" t="s">
        <v>87</v>
      </c>
      <c r="D25" s="121" t="s">
        <v>522</v>
      </c>
      <c r="I25" s="230" t="s">
        <v>886</v>
      </c>
      <c r="J25" s="229"/>
      <c r="K25" s="229"/>
    </row>
    <row r="26" spans="3:13" x14ac:dyDescent="0.3">
      <c r="C26" s="121" t="s">
        <v>22</v>
      </c>
      <c r="D26" s="124">
        <v>10</v>
      </c>
      <c r="H26" s="121" t="s">
        <v>883</v>
      </c>
      <c r="I26" s="227" t="s">
        <v>510</v>
      </c>
      <c r="J26" s="226">
        <f>(E36+D36*D27-D36*D48)/D36</f>
        <v>229</v>
      </c>
    </row>
    <row r="27" spans="3:13" x14ac:dyDescent="0.3">
      <c r="C27" s="121" t="s">
        <v>510</v>
      </c>
      <c r="D27" s="124">
        <v>30</v>
      </c>
      <c r="H27" s="121" t="s">
        <v>882</v>
      </c>
      <c r="I27" s="227" t="s">
        <v>22</v>
      </c>
      <c r="J27" s="226">
        <f>(E37+D37*D26-D37*D47)/D37</f>
        <v>59.5</v>
      </c>
    </row>
    <row r="28" spans="3:13" x14ac:dyDescent="0.3">
      <c r="I28" s="227"/>
      <c r="J28" s="229"/>
      <c r="K28" s="229"/>
    </row>
    <row r="29" spans="3:13" x14ac:dyDescent="0.3">
      <c r="C29" s="121" t="s">
        <v>521</v>
      </c>
      <c r="I29" s="230" t="s">
        <v>885</v>
      </c>
      <c r="J29" s="229"/>
      <c r="K29" s="229"/>
    </row>
    <row r="30" spans="3:13" x14ac:dyDescent="0.3">
      <c r="C30" s="121" t="s">
        <v>520</v>
      </c>
      <c r="D30" s="121" t="s">
        <v>22</v>
      </c>
      <c r="E30" s="121" t="s">
        <v>510</v>
      </c>
      <c r="I30" s="227" t="s">
        <v>510</v>
      </c>
      <c r="J30" s="225">
        <f>J26/(1-D44)</f>
        <v>254.44444444444443</v>
      </c>
      <c r="K30" s="225">
        <f>J30*(1+E32)</f>
        <v>284.97777777777776</v>
      </c>
    </row>
    <row r="31" spans="3:13" x14ac:dyDescent="0.3">
      <c r="C31" s="121" t="s">
        <v>519</v>
      </c>
      <c r="D31" s="123">
        <v>0</v>
      </c>
      <c r="E31" s="123">
        <v>0.03</v>
      </c>
      <c r="I31" s="227" t="s">
        <v>22</v>
      </c>
      <c r="J31" s="225">
        <f>J27/(1-D43)</f>
        <v>238</v>
      </c>
      <c r="K31" s="225">
        <f>J31*(1+D32)</f>
        <v>233.24</v>
      </c>
    </row>
    <row r="32" spans="3:13" x14ac:dyDescent="0.3">
      <c r="C32" s="121" t="s">
        <v>518</v>
      </c>
      <c r="D32" s="123">
        <v>-0.02</v>
      </c>
      <c r="E32" s="123">
        <v>0.12</v>
      </c>
      <c r="I32" s="227"/>
      <c r="J32" s="229"/>
      <c r="K32" s="229"/>
    </row>
    <row r="33" spans="3:11" x14ac:dyDescent="0.3">
      <c r="I33" s="230" t="s">
        <v>884</v>
      </c>
      <c r="J33" s="229"/>
      <c r="K33" s="229"/>
    </row>
    <row r="34" spans="3:11" x14ac:dyDescent="0.3">
      <c r="C34" s="121" t="s">
        <v>517</v>
      </c>
      <c r="H34" s="121" t="s">
        <v>883</v>
      </c>
      <c r="I34" s="227" t="s">
        <v>510</v>
      </c>
      <c r="J34" s="225"/>
      <c r="K34" s="226">
        <f>K30*(1-E44)</f>
        <v>250.78044444444444</v>
      </c>
    </row>
    <row r="35" spans="3:11" x14ac:dyDescent="0.3">
      <c r="C35" s="121" t="s">
        <v>87</v>
      </c>
      <c r="D35" s="121" t="s">
        <v>425</v>
      </c>
      <c r="E35" s="121" t="s">
        <v>516</v>
      </c>
      <c r="H35" s="121" t="s">
        <v>882</v>
      </c>
      <c r="I35" s="227" t="s">
        <v>22</v>
      </c>
      <c r="J35" s="225"/>
      <c r="K35" s="226">
        <f>K31*(1-E43)</f>
        <v>53.645199999999996</v>
      </c>
    </row>
    <row r="36" spans="3:11" x14ac:dyDescent="0.3">
      <c r="C36" s="121" t="s">
        <v>510</v>
      </c>
      <c r="D36" s="121">
        <v>500</v>
      </c>
      <c r="E36" s="124">
        <v>100000</v>
      </c>
      <c r="I36" s="227"/>
      <c r="J36" s="229"/>
      <c r="K36" s="229"/>
    </row>
    <row r="37" spans="3:11" x14ac:dyDescent="0.3">
      <c r="C37" s="121" t="s">
        <v>22</v>
      </c>
      <c r="D37" s="125">
        <v>1000</v>
      </c>
      <c r="E37" s="124">
        <v>50000</v>
      </c>
      <c r="I37" s="227"/>
      <c r="J37" s="229" t="s">
        <v>431</v>
      </c>
      <c r="K37" s="229" t="s">
        <v>239</v>
      </c>
    </row>
    <row r="38" spans="3:11" x14ac:dyDescent="0.3">
      <c r="C38" s="121" t="s">
        <v>247</v>
      </c>
      <c r="D38" s="125">
        <v>1500</v>
      </c>
      <c r="E38" s="124">
        <v>150000</v>
      </c>
      <c r="I38" s="230" t="s">
        <v>425</v>
      </c>
      <c r="J38" s="229"/>
      <c r="K38" s="229"/>
    </row>
    <row r="39" spans="3:11" x14ac:dyDescent="0.3">
      <c r="I39" s="227" t="s">
        <v>510</v>
      </c>
      <c r="J39" s="231">
        <f>D36</f>
        <v>500</v>
      </c>
      <c r="K39" s="231">
        <f>J39*(1+E31)</f>
        <v>515</v>
      </c>
    </row>
    <row r="40" spans="3:11" x14ac:dyDescent="0.3">
      <c r="C40" s="121" t="s">
        <v>515</v>
      </c>
      <c r="I40" s="227" t="s">
        <v>22</v>
      </c>
      <c r="J40" s="231">
        <f>D37</f>
        <v>1000</v>
      </c>
      <c r="K40" s="231">
        <f>J40*(1+D31)</f>
        <v>1000</v>
      </c>
    </row>
    <row r="41" spans="3:11" x14ac:dyDescent="0.3">
      <c r="C41" s="121" t="s">
        <v>514</v>
      </c>
      <c r="I41" s="227"/>
      <c r="J41" s="229"/>
      <c r="K41" s="229"/>
    </row>
    <row r="42" spans="3:11" x14ac:dyDescent="0.3">
      <c r="C42" s="121" t="s">
        <v>87</v>
      </c>
      <c r="D42" s="121" t="s">
        <v>512</v>
      </c>
      <c r="E42" s="121" t="s">
        <v>511</v>
      </c>
      <c r="H42" s="121" t="s">
        <v>881</v>
      </c>
      <c r="I42" s="230" t="s">
        <v>880</v>
      </c>
      <c r="J42" s="229"/>
      <c r="K42" s="229"/>
    </row>
    <row r="43" spans="3:11" x14ac:dyDescent="0.3">
      <c r="C43" s="121" t="s">
        <v>22</v>
      </c>
      <c r="D43" s="123">
        <v>0.75</v>
      </c>
      <c r="E43" s="123">
        <v>0.77</v>
      </c>
      <c r="I43" s="227" t="s">
        <v>510</v>
      </c>
      <c r="J43" s="225">
        <f>(J26-D27+D48)*J39</f>
        <v>100000</v>
      </c>
      <c r="K43" s="225">
        <f>(K34-D27+E48)*K39</f>
        <v>114216.92888888888</v>
      </c>
    </row>
    <row r="44" spans="3:11" x14ac:dyDescent="0.3">
      <c r="C44" s="121" t="s">
        <v>510</v>
      </c>
      <c r="D44" s="123">
        <v>0.1</v>
      </c>
      <c r="E44" s="123">
        <v>0.12</v>
      </c>
      <c r="I44" s="227" t="s">
        <v>22</v>
      </c>
      <c r="J44" s="228">
        <f>(J27-D26+D47)*J40</f>
        <v>50000</v>
      </c>
      <c r="K44" s="228">
        <f>(K35-D26+E47)*K40</f>
        <v>44145.2</v>
      </c>
    </row>
    <row r="45" spans="3:11" x14ac:dyDescent="0.3">
      <c r="C45" s="121" t="s">
        <v>513</v>
      </c>
      <c r="I45" s="227"/>
      <c r="J45" s="225">
        <f>SUM(J43:J44)</f>
        <v>150000</v>
      </c>
      <c r="K45" s="226">
        <f>SUM(K43:K44)</f>
        <v>158362.12888888887</v>
      </c>
    </row>
    <row r="46" spans="3:11" x14ac:dyDescent="0.3">
      <c r="C46" s="121" t="s">
        <v>87</v>
      </c>
      <c r="D46" s="121" t="s">
        <v>512</v>
      </c>
      <c r="E46" s="121" t="s">
        <v>511</v>
      </c>
      <c r="K46" s="225"/>
    </row>
    <row r="47" spans="3:11" x14ac:dyDescent="0.3">
      <c r="C47" s="121" t="s">
        <v>22</v>
      </c>
      <c r="D47" s="122">
        <v>0.5</v>
      </c>
      <c r="E47" s="122">
        <v>0.5</v>
      </c>
    </row>
    <row r="48" spans="3:11" x14ac:dyDescent="0.3">
      <c r="C48" s="121" t="s">
        <v>510</v>
      </c>
      <c r="D48" s="122">
        <v>1</v>
      </c>
      <c r="E48" s="122">
        <v>1</v>
      </c>
    </row>
  </sheetData>
  <mergeCells count="3">
    <mergeCell ref="C10:F10"/>
    <mergeCell ref="C22:G22"/>
    <mergeCell ref="I22:M22"/>
  </mergeCell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4DA26-8A9C-40FE-866A-2AEA51D68B1B}">
  <sheetPr>
    <tabColor theme="5" tint="0.39997558519241921"/>
  </sheetPr>
  <dimension ref="A1:M70"/>
  <sheetViews>
    <sheetView workbookViewId="0">
      <selection activeCell="B5" sqref="B5"/>
    </sheetView>
  </sheetViews>
  <sheetFormatPr defaultRowHeight="14.4" x14ac:dyDescent="0.3"/>
  <cols>
    <col min="3" max="3" width="24.6640625" customWidth="1"/>
    <col min="9" max="9" width="18.6640625" bestFit="1" customWidth="1"/>
    <col min="10" max="10" width="14.44140625" customWidth="1"/>
  </cols>
  <sheetData>
    <row r="1" spans="1:8" ht="15" thickBot="1" x14ac:dyDescent="0.35">
      <c r="A1" t="s">
        <v>574</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t="s">
        <v>573</v>
      </c>
    </row>
    <row r="13" spans="1:8" x14ac:dyDescent="0.3">
      <c r="C13" t="s">
        <v>572</v>
      </c>
    </row>
    <row r="14" spans="1:8" x14ac:dyDescent="0.3">
      <c r="C14" t="s">
        <v>571</v>
      </c>
    </row>
    <row r="15" spans="1:8" x14ac:dyDescent="0.3">
      <c r="C15" t="s">
        <v>570</v>
      </c>
    </row>
    <row r="16" spans="1:8" ht="15" thickBot="1" x14ac:dyDescent="0.35"/>
    <row r="17" spans="3:13" ht="15" thickBot="1" x14ac:dyDescent="0.35">
      <c r="C17" s="375" t="s">
        <v>4</v>
      </c>
      <c r="D17" s="376"/>
      <c r="E17" s="376"/>
      <c r="F17" s="376"/>
      <c r="G17" s="377"/>
      <c r="I17" s="375" t="s">
        <v>3</v>
      </c>
      <c r="J17" s="376"/>
      <c r="K17" s="376"/>
      <c r="L17" s="376"/>
      <c r="M17" s="377"/>
    </row>
    <row r="19" spans="3:13" x14ac:dyDescent="0.3">
      <c r="C19" t="s">
        <v>569</v>
      </c>
    </row>
    <row r="20" spans="3:13" x14ac:dyDescent="0.3">
      <c r="D20" t="s">
        <v>568</v>
      </c>
      <c r="E20" t="s">
        <v>567</v>
      </c>
      <c r="F20" t="s">
        <v>85</v>
      </c>
    </row>
    <row r="21" spans="3:13" x14ac:dyDescent="0.3">
      <c r="C21" t="s">
        <v>566</v>
      </c>
    </row>
    <row r="22" spans="3:13" x14ac:dyDescent="0.3">
      <c r="C22" t="s">
        <v>565</v>
      </c>
      <c r="D22" s="130">
        <v>130</v>
      </c>
      <c r="E22" s="108">
        <v>3280</v>
      </c>
      <c r="F22" s="108">
        <v>500</v>
      </c>
    </row>
    <row r="23" spans="3:13" x14ac:dyDescent="0.3">
      <c r="C23" t="s">
        <v>564</v>
      </c>
      <c r="D23" s="130">
        <v>85</v>
      </c>
      <c r="E23" s="108">
        <v>5370</v>
      </c>
      <c r="F23" s="108">
        <v>500</v>
      </c>
    </row>
    <row r="24" spans="3:13" x14ac:dyDescent="0.3">
      <c r="C24" t="s">
        <v>563</v>
      </c>
      <c r="D24" s="130">
        <v>15</v>
      </c>
      <c r="E24" s="108">
        <v>805</v>
      </c>
      <c r="F24" s="108">
        <v>80</v>
      </c>
    </row>
    <row r="25" spans="3:13" x14ac:dyDescent="0.3">
      <c r="C25" t="s">
        <v>562</v>
      </c>
      <c r="D25" s="14"/>
      <c r="E25" s="14"/>
      <c r="F25" s="14"/>
    </row>
    <row r="26" spans="3:13" x14ac:dyDescent="0.3">
      <c r="C26" t="s">
        <v>561</v>
      </c>
      <c r="D26" s="130">
        <v>210</v>
      </c>
      <c r="E26" s="108">
        <v>665</v>
      </c>
      <c r="F26" s="108">
        <v>200</v>
      </c>
    </row>
    <row r="27" spans="3:13" x14ac:dyDescent="0.3">
      <c r="C27" t="s">
        <v>560</v>
      </c>
      <c r="D27" s="130">
        <v>145</v>
      </c>
      <c r="E27" s="108">
        <v>3510</v>
      </c>
      <c r="F27" s="108">
        <v>300</v>
      </c>
    </row>
    <row r="28" spans="3:13" x14ac:dyDescent="0.3">
      <c r="C28" t="s">
        <v>559</v>
      </c>
      <c r="D28" s="130">
        <v>375</v>
      </c>
      <c r="E28" s="108">
        <v>215</v>
      </c>
      <c r="F28" s="108">
        <v>40</v>
      </c>
    </row>
    <row r="29" spans="3:13" x14ac:dyDescent="0.3">
      <c r="C29" t="s">
        <v>558</v>
      </c>
      <c r="D29" s="130">
        <v>460</v>
      </c>
      <c r="E29" s="108">
        <v>395</v>
      </c>
      <c r="F29" s="108">
        <v>100</v>
      </c>
    </row>
    <row r="30" spans="3:13" x14ac:dyDescent="0.3">
      <c r="C30" t="s">
        <v>557</v>
      </c>
      <c r="D30" s="14"/>
      <c r="E30" s="14"/>
      <c r="F30" s="14"/>
    </row>
    <row r="31" spans="3:13" x14ac:dyDescent="0.3">
      <c r="C31" t="s">
        <v>556</v>
      </c>
      <c r="D31" s="130">
        <v>1800</v>
      </c>
      <c r="E31" s="108">
        <v>85</v>
      </c>
      <c r="F31" s="108">
        <v>25</v>
      </c>
    </row>
    <row r="32" spans="3:13" x14ac:dyDescent="0.3">
      <c r="C32" t="s">
        <v>555</v>
      </c>
      <c r="D32" s="130">
        <v>1000</v>
      </c>
      <c r="E32" s="108">
        <v>200</v>
      </c>
      <c r="F32" s="108">
        <v>50</v>
      </c>
    </row>
    <row r="33" spans="3:6" x14ac:dyDescent="0.3">
      <c r="C33" t="s">
        <v>554</v>
      </c>
      <c r="D33" s="130">
        <v>2200</v>
      </c>
      <c r="E33" s="108">
        <v>365</v>
      </c>
      <c r="F33" s="108">
        <v>80</v>
      </c>
    </row>
    <row r="34" spans="3:6" x14ac:dyDescent="0.3">
      <c r="C34" t="s">
        <v>553</v>
      </c>
      <c r="D34" s="14"/>
      <c r="E34" s="14"/>
      <c r="F34" s="14"/>
    </row>
    <row r="35" spans="3:6" x14ac:dyDescent="0.3">
      <c r="C35" t="s">
        <v>84</v>
      </c>
      <c r="D35" s="130">
        <v>6500</v>
      </c>
      <c r="E35" s="108">
        <v>28</v>
      </c>
      <c r="F35" s="108">
        <v>10</v>
      </c>
    </row>
    <row r="36" spans="3:6" x14ac:dyDescent="0.3">
      <c r="C36" t="s">
        <v>510</v>
      </c>
      <c r="D36" s="130">
        <v>600</v>
      </c>
      <c r="E36" s="108">
        <v>725</v>
      </c>
      <c r="F36" s="108">
        <v>50</v>
      </c>
    </row>
    <row r="38" spans="3:6" x14ac:dyDescent="0.3">
      <c r="C38" t="s">
        <v>552</v>
      </c>
    </row>
    <row r="39" spans="3:6" x14ac:dyDescent="0.3">
      <c r="C39" t="s">
        <v>67</v>
      </c>
      <c r="D39" s="88">
        <v>1000</v>
      </c>
    </row>
    <row r="40" spans="3:6" x14ac:dyDescent="0.3">
      <c r="C40" t="s">
        <v>551</v>
      </c>
      <c r="D40">
        <v>0.2</v>
      </c>
    </row>
    <row r="41" spans="3:6" x14ac:dyDescent="0.3">
      <c r="C41" t="s">
        <v>550</v>
      </c>
      <c r="D41" s="88">
        <v>3000</v>
      </c>
    </row>
    <row r="43" spans="3:6" x14ac:dyDescent="0.3">
      <c r="C43" t="s">
        <v>549</v>
      </c>
    </row>
    <row r="44" spans="3:6" x14ac:dyDescent="0.3">
      <c r="C44" t="s">
        <v>32</v>
      </c>
      <c r="D44">
        <v>0.9</v>
      </c>
    </row>
    <row r="45" spans="3:6" x14ac:dyDescent="0.3">
      <c r="C45" t="s">
        <v>548</v>
      </c>
      <c r="D45">
        <v>0.1</v>
      </c>
    </row>
    <row r="47" spans="3:6" x14ac:dyDescent="0.3">
      <c r="C47" t="s">
        <v>547</v>
      </c>
    </row>
    <row r="48" spans="3:6" x14ac:dyDescent="0.3">
      <c r="C48" t="s">
        <v>546</v>
      </c>
      <c r="D48">
        <v>0.04</v>
      </c>
    </row>
    <row r="49" spans="3:5" x14ac:dyDescent="0.3">
      <c r="C49" t="s">
        <v>545</v>
      </c>
      <c r="D49">
        <v>0.12</v>
      </c>
    </row>
    <row r="50" spans="3:5" x14ac:dyDescent="0.3">
      <c r="C50" t="s">
        <v>544</v>
      </c>
      <c r="D50">
        <v>0.04</v>
      </c>
    </row>
    <row r="52" spans="3:5" x14ac:dyDescent="0.3">
      <c r="C52" t="s">
        <v>543</v>
      </c>
    </row>
    <row r="53" spans="3:5" x14ac:dyDescent="0.3">
      <c r="C53" t="s">
        <v>62</v>
      </c>
      <c r="D53" t="s">
        <v>542</v>
      </c>
      <c r="E53" t="s">
        <v>541</v>
      </c>
    </row>
    <row r="54" spans="3:5" x14ac:dyDescent="0.3">
      <c r="C54" s="14">
        <v>0</v>
      </c>
      <c r="D54" s="14">
        <v>0.25</v>
      </c>
      <c r="E54" s="108">
        <v>0</v>
      </c>
    </row>
    <row r="55" spans="3:5" x14ac:dyDescent="0.3">
      <c r="C55" s="14" t="s">
        <v>540</v>
      </c>
      <c r="D55" s="14">
        <v>0.12</v>
      </c>
      <c r="E55" s="108">
        <v>77</v>
      </c>
    </row>
    <row r="56" spans="3:5" x14ac:dyDescent="0.3">
      <c r="C56" s="14" t="s">
        <v>539</v>
      </c>
      <c r="D56" s="14">
        <v>0.1</v>
      </c>
      <c r="E56" s="108">
        <v>136</v>
      </c>
    </row>
    <row r="57" spans="3:5" x14ac:dyDescent="0.3">
      <c r="C57" s="14" t="s">
        <v>538</v>
      </c>
      <c r="D57" s="14">
        <v>7.0000000000000007E-2</v>
      </c>
      <c r="E57" s="108">
        <v>263</v>
      </c>
    </row>
    <row r="58" spans="3:5" x14ac:dyDescent="0.3">
      <c r="C58" s="14" t="s">
        <v>537</v>
      </c>
      <c r="D58" s="14">
        <v>0.09</v>
      </c>
      <c r="E58" s="108">
        <v>395</v>
      </c>
    </row>
    <row r="59" spans="3:5" x14ac:dyDescent="0.3">
      <c r="C59" s="14" t="s">
        <v>536</v>
      </c>
      <c r="D59" s="14">
        <v>7.0000000000000007E-2</v>
      </c>
      <c r="E59" s="108">
        <v>515</v>
      </c>
    </row>
    <row r="60" spans="3:5" x14ac:dyDescent="0.3">
      <c r="C60" s="14" t="s">
        <v>535</v>
      </c>
      <c r="D60" s="14">
        <v>0.04</v>
      </c>
      <c r="E60" s="108">
        <v>749</v>
      </c>
    </row>
    <row r="61" spans="3:5" x14ac:dyDescent="0.3">
      <c r="C61" s="14" t="s">
        <v>534</v>
      </c>
      <c r="D61" s="14">
        <v>0.04</v>
      </c>
      <c r="E61" s="108">
        <v>920</v>
      </c>
    </row>
    <row r="62" spans="3:5" x14ac:dyDescent="0.3">
      <c r="C62" s="14" t="s">
        <v>533</v>
      </c>
      <c r="D62" s="14">
        <v>0.05</v>
      </c>
      <c r="E62" s="108">
        <v>1800</v>
      </c>
    </row>
    <row r="63" spans="3:5" x14ac:dyDescent="0.3">
      <c r="C63" s="14" t="s">
        <v>532</v>
      </c>
      <c r="D63" s="14">
        <v>0.05</v>
      </c>
      <c r="E63" s="108">
        <v>2500</v>
      </c>
    </row>
    <row r="64" spans="3:5" x14ac:dyDescent="0.3">
      <c r="C64" s="14" t="s">
        <v>531</v>
      </c>
      <c r="D64" s="14">
        <v>0.04</v>
      </c>
      <c r="E64" s="108">
        <v>6540</v>
      </c>
    </row>
    <row r="65" spans="3:5" x14ac:dyDescent="0.3">
      <c r="C65" s="14" t="s">
        <v>530</v>
      </c>
      <c r="D65" s="14">
        <v>0.03</v>
      </c>
      <c r="E65" s="108">
        <v>11500</v>
      </c>
    </row>
    <row r="66" spans="3:5" x14ac:dyDescent="0.3">
      <c r="C66" s="14" t="s">
        <v>529</v>
      </c>
      <c r="D66" s="14">
        <v>2.4E-2</v>
      </c>
      <c r="E66" s="108">
        <v>16600</v>
      </c>
    </row>
    <row r="67" spans="3:5" x14ac:dyDescent="0.3">
      <c r="C67" s="14" t="s">
        <v>528</v>
      </c>
      <c r="D67" s="14">
        <v>0.02</v>
      </c>
      <c r="E67" s="108">
        <v>27770</v>
      </c>
    </row>
    <row r="68" spans="3:5" x14ac:dyDescent="0.3">
      <c r="C68" s="14" t="s">
        <v>527</v>
      </c>
      <c r="D68" s="14">
        <v>3.0000000000000001E-3</v>
      </c>
      <c r="E68" s="108">
        <v>75000</v>
      </c>
    </row>
    <row r="69" spans="3:5" x14ac:dyDescent="0.3">
      <c r="C69" s="14" t="s">
        <v>526</v>
      </c>
      <c r="D69" s="14">
        <v>2E-3</v>
      </c>
      <c r="E69" s="108">
        <v>129995</v>
      </c>
    </row>
    <row r="70" spans="3:5" x14ac:dyDescent="0.3">
      <c r="C70" s="14" t="s">
        <v>525</v>
      </c>
      <c r="D70" s="14">
        <v>1E-3</v>
      </c>
      <c r="E70" s="108">
        <v>560000</v>
      </c>
    </row>
  </sheetData>
  <mergeCells count="3">
    <mergeCell ref="C10:F10"/>
    <mergeCell ref="C17:G17"/>
    <mergeCell ref="I17:M17"/>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FA4C-BD52-4327-B7B7-CC88510F7F5F}">
  <sheetPr>
    <tabColor theme="9" tint="0.59999389629810485"/>
  </sheetPr>
  <dimension ref="A1:N83"/>
  <sheetViews>
    <sheetView workbookViewId="0">
      <selection activeCell="I48" sqref="I48"/>
    </sheetView>
  </sheetViews>
  <sheetFormatPr defaultRowHeight="14.4" x14ac:dyDescent="0.3"/>
  <cols>
    <col min="3" max="3" width="24.6640625" customWidth="1"/>
    <col min="9" max="9" width="18.6640625" bestFit="1" customWidth="1"/>
    <col min="10" max="10" width="14.44140625" customWidth="1"/>
  </cols>
  <sheetData>
    <row r="1" spans="1:8" ht="15" thickBot="1" x14ac:dyDescent="0.35">
      <c r="A1" t="s">
        <v>574</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t="s">
        <v>573</v>
      </c>
    </row>
    <row r="13" spans="1:8" x14ac:dyDescent="0.3">
      <c r="C13" t="s">
        <v>572</v>
      </c>
    </row>
    <row r="14" spans="1:8" x14ac:dyDescent="0.3">
      <c r="C14" t="s">
        <v>571</v>
      </c>
    </row>
    <row r="15" spans="1:8" x14ac:dyDescent="0.3">
      <c r="C15" t="s">
        <v>570</v>
      </c>
    </row>
    <row r="16" spans="1:8" ht="15" thickBot="1" x14ac:dyDescent="0.35"/>
    <row r="17" spans="3:13" ht="15" thickBot="1" x14ac:dyDescent="0.35">
      <c r="C17" s="375" t="s">
        <v>4</v>
      </c>
      <c r="D17" s="376"/>
      <c r="E17" s="376"/>
      <c r="F17" s="376"/>
      <c r="G17" s="377"/>
      <c r="I17" s="375" t="s">
        <v>3</v>
      </c>
      <c r="J17" s="376"/>
      <c r="K17" s="376"/>
      <c r="L17" s="376"/>
      <c r="M17" s="377"/>
    </row>
    <row r="19" spans="3:13" x14ac:dyDescent="0.3">
      <c r="C19" t="s">
        <v>569</v>
      </c>
      <c r="I19" t="s">
        <v>569</v>
      </c>
    </row>
    <row r="20" spans="3:13" x14ac:dyDescent="0.3">
      <c r="D20" t="s">
        <v>568</v>
      </c>
      <c r="E20" t="s">
        <v>567</v>
      </c>
      <c r="F20" t="s">
        <v>85</v>
      </c>
      <c r="J20" t="s">
        <v>895</v>
      </c>
    </row>
    <row r="21" spans="3:13" x14ac:dyDescent="0.3">
      <c r="C21" t="s">
        <v>566</v>
      </c>
      <c r="I21" s="99" t="s">
        <v>566</v>
      </c>
    </row>
    <row r="22" spans="3:13" x14ac:dyDescent="0.3">
      <c r="C22" t="s">
        <v>565</v>
      </c>
      <c r="D22" s="130">
        <v>130</v>
      </c>
      <c r="E22" s="108">
        <v>3280</v>
      </c>
      <c r="F22" s="108">
        <v>500</v>
      </c>
      <c r="I22" t="s">
        <v>565</v>
      </c>
      <c r="J22" s="109">
        <f>D22*(E22-F22)/12000</f>
        <v>30.116666666666667</v>
      </c>
    </row>
    <row r="23" spans="3:13" x14ac:dyDescent="0.3">
      <c r="C23" t="s">
        <v>564</v>
      </c>
      <c r="D23" s="130">
        <v>85</v>
      </c>
      <c r="E23" s="108">
        <v>5370</v>
      </c>
      <c r="F23" s="108">
        <v>500</v>
      </c>
      <c r="I23" t="s">
        <v>564</v>
      </c>
      <c r="J23" s="109">
        <f>D23*(E23-F23)/12000</f>
        <v>34.49583333333333</v>
      </c>
    </row>
    <row r="24" spans="3:13" x14ac:dyDescent="0.3">
      <c r="C24" t="s">
        <v>563</v>
      </c>
      <c r="D24" s="130">
        <v>15</v>
      </c>
      <c r="E24" s="108">
        <v>805</v>
      </c>
      <c r="F24" s="108">
        <v>80</v>
      </c>
      <c r="I24" t="s">
        <v>563</v>
      </c>
      <c r="J24" s="109">
        <f>D24*(E24-F24)/12000</f>
        <v>0.90625</v>
      </c>
    </row>
    <row r="25" spans="3:13" x14ac:dyDescent="0.3">
      <c r="C25" t="s">
        <v>562</v>
      </c>
      <c r="D25" s="14"/>
      <c r="E25" s="14"/>
      <c r="F25" s="14"/>
      <c r="I25" s="99" t="s">
        <v>562</v>
      </c>
    </row>
    <row r="26" spans="3:13" x14ac:dyDescent="0.3">
      <c r="C26" t="s">
        <v>561</v>
      </c>
      <c r="D26" s="130">
        <v>210</v>
      </c>
      <c r="E26" s="108">
        <v>665</v>
      </c>
      <c r="F26" s="108">
        <v>200</v>
      </c>
      <c r="I26" t="s">
        <v>561</v>
      </c>
      <c r="J26" s="109">
        <f>D26*(E26-F26)/12000</f>
        <v>8.1374999999999993</v>
      </c>
    </row>
    <row r="27" spans="3:13" x14ac:dyDescent="0.3">
      <c r="C27" t="s">
        <v>560</v>
      </c>
      <c r="D27" s="130">
        <v>145</v>
      </c>
      <c r="E27" s="108">
        <v>3510</v>
      </c>
      <c r="F27" s="108">
        <v>300</v>
      </c>
      <c r="I27" t="s">
        <v>560</v>
      </c>
      <c r="J27" s="109">
        <f>D27*(E27-F27)/12000</f>
        <v>38.787500000000001</v>
      </c>
    </row>
    <row r="28" spans="3:13" x14ac:dyDescent="0.3">
      <c r="C28" t="s">
        <v>559</v>
      </c>
      <c r="D28" s="130">
        <v>375</v>
      </c>
      <c r="E28" s="108">
        <v>215</v>
      </c>
      <c r="F28" s="108">
        <v>40</v>
      </c>
      <c r="I28" t="s">
        <v>559</v>
      </c>
      <c r="J28" s="109">
        <f>D28*(E28-F28)/12000</f>
        <v>5.46875</v>
      </c>
    </row>
    <row r="29" spans="3:13" x14ac:dyDescent="0.3">
      <c r="C29" t="s">
        <v>558</v>
      </c>
      <c r="D29" s="130">
        <v>460</v>
      </c>
      <c r="E29" s="108">
        <v>395</v>
      </c>
      <c r="F29" s="108">
        <v>100</v>
      </c>
      <c r="I29" t="s">
        <v>558</v>
      </c>
      <c r="J29" s="109">
        <f>D29*(E29-F29)/12000</f>
        <v>11.308333333333334</v>
      </c>
    </row>
    <row r="30" spans="3:13" x14ac:dyDescent="0.3">
      <c r="C30" t="s">
        <v>557</v>
      </c>
      <c r="D30" s="14"/>
      <c r="E30" s="14"/>
      <c r="F30" s="14"/>
      <c r="I30" s="99" t="s">
        <v>557</v>
      </c>
    </row>
    <row r="31" spans="3:13" x14ac:dyDescent="0.3">
      <c r="C31" t="s">
        <v>556</v>
      </c>
      <c r="D31" s="130">
        <v>1800</v>
      </c>
      <c r="E31" s="108">
        <v>85</v>
      </c>
      <c r="F31" s="108">
        <v>25</v>
      </c>
      <c r="I31" t="s">
        <v>556</v>
      </c>
      <c r="J31" s="109">
        <f>D31*(E31-F31)/12000</f>
        <v>9</v>
      </c>
    </row>
    <row r="32" spans="3:13" x14ac:dyDescent="0.3">
      <c r="C32" t="s">
        <v>555</v>
      </c>
      <c r="D32" s="130">
        <v>1000</v>
      </c>
      <c r="E32" s="108">
        <v>200</v>
      </c>
      <c r="F32" s="108">
        <v>50</v>
      </c>
      <c r="I32" t="s">
        <v>555</v>
      </c>
      <c r="J32" s="109">
        <f>D32*(E32-F32)/12000</f>
        <v>12.5</v>
      </c>
    </row>
    <row r="33" spans="3:10" x14ac:dyDescent="0.3">
      <c r="C33" t="s">
        <v>554</v>
      </c>
      <c r="D33" s="130">
        <v>2200</v>
      </c>
      <c r="E33" s="108">
        <v>365</v>
      </c>
      <c r="F33" s="108">
        <v>80</v>
      </c>
      <c r="I33" t="s">
        <v>554</v>
      </c>
      <c r="J33" s="109">
        <f>D33*(E33-F33)/12000</f>
        <v>52.25</v>
      </c>
    </row>
    <row r="34" spans="3:10" x14ac:dyDescent="0.3">
      <c r="C34" t="s">
        <v>553</v>
      </c>
      <c r="D34" s="14"/>
      <c r="E34" s="14"/>
      <c r="F34" s="14"/>
      <c r="I34" s="99" t="s">
        <v>553</v>
      </c>
    </row>
    <row r="35" spans="3:10" x14ac:dyDescent="0.3">
      <c r="C35" t="s">
        <v>84</v>
      </c>
      <c r="D35" s="130">
        <v>6500</v>
      </c>
      <c r="E35" s="108">
        <v>28</v>
      </c>
      <c r="F35" s="108">
        <v>10</v>
      </c>
      <c r="I35" t="s">
        <v>84</v>
      </c>
      <c r="J35" s="109">
        <f>D35*(E35-F35)/12000</f>
        <v>9.75</v>
      </c>
    </row>
    <row r="36" spans="3:10" x14ac:dyDescent="0.3">
      <c r="C36" t="s">
        <v>510</v>
      </c>
      <c r="D36" s="130">
        <v>600</v>
      </c>
      <c r="E36" s="108">
        <v>725</v>
      </c>
      <c r="F36" s="108">
        <v>50</v>
      </c>
      <c r="I36" s="26" t="s">
        <v>510</v>
      </c>
      <c r="J36" s="181">
        <f>D36*(E36-F36)/12000</f>
        <v>33.75</v>
      </c>
    </row>
    <row r="37" spans="3:10" x14ac:dyDescent="0.3">
      <c r="J37" s="109">
        <f>SUM(J22:J24,J26:J29,J31:J33,J35:J36)</f>
        <v>246.47083333333333</v>
      </c>
    </row>
    <row r="38" spans="3:10" x14ac:dyDescent="0.3">
      <c r="C38" t="s">
        <v>552</v>
      </c>
    </row>
    <row r="39" spans="3:10" x14ac:dyDescent="0.3">
      <c r="C39" t="s">
        <v>67</v>
      </c>
      <c r="D39" s="88">
        <v>1000</v>
      </c>
    </row>
    <row r="40" spans="3:10" x14ac:dyDescent="0.3">
      <c r="C40" t="s">
        <v>551</v>
      </c>
      <c r="D40">
        <v>0.2</v>
      </c>
    </row>
    <row r="41" spans="3:10" x14ac:dyDescent="0.3">
      <c r="C41" t="s">
        <v>550</v>
      </c>
      <c r="D41" s="88">
        <v>3000</v>
      </c>
    </row>
    <row r="43" spans="3:10" x14ac:dyDescent="0.3">
      <c r="C43" t="s">
        <v>549</v>
      </c>
    </row>
    <row r="44" spans="3:10" x14ac:dyDescent="0.3">
      <c r="C44" t="s">
        <v>32</v>
      </c>
      <c r="D44">
        <v>0.9</v>
      </c>
    </row>
    <row r="45" spans="3:10" x14ac:dyDescent="0.3">
      <c r="C45" t="s">
        <v>548</v>
      </c>
      <c r="D45">
        <v>0.1</v>
      </c>
    </row>
    <row r="47" spans="3:10" x14ac:dyDescent="0.3">
      <c r="C47" t="s">
        <v>547</v>
      </c>
    </row>
    <row r="48" spans="3:10" x14ac:dyDescent="0.3">
      <c r="C48" t="s">
        <v>546</v>
      </c>
      <c r="D48">
        <v>0.04</v>
      </c>
    </row>
    <row r="49" spans="3:10" x14ac:dyDescent="0.3">
      <c r="C49" t="s">
        <v>545</v>
      </c>
      <c r="D49">
        <v>0.12</v>
      </c>
    </row>
    <row r="50" spans="3:10" x14ac:dyDescent="0.3">
      <c r="C50" t="s">
        <v>544</v>
      </c>
      <c r="D50">
        <v>0.04</v>
      </c>
    </row>
    <row r="52" spans="3:10" x14ac:dyDescent="0.3">
      <c r="C52" t="s">
        <v>543</v>
      </c>
      <c r="I52" t="s">
        <v>543</v>
      </c>
    </row>
    <row r="53" spans="3:10" x14ac:dyDescent="0.3">
      <c r="C53" t="s">
        <v>62</v>
      </c>
      <c r="D53" t="s">
        <v>542</v>
      </c>
      <c r="E53" t="s">
        <v>541</v>
      </c>
      <c r="I53" s="23" t="s">
        <v>894</v>
      </c>
      <c r="J53" s="23" t="s">
        <v>871</v>
      </c>
    </row>
    <row r="54" spans="3:10" x14ac:dyDescent="0.3">
      <c r="C54" s="14">
        <v>0</v>
      </c>
      <c r="D54" s="14">
        <v>0.25</v>
      </c>
      <c r="E54" s="108">
        <v>0</v>
      </c>
      <c r="I54" s="108">
        <f t="shared" ref="I54:I70" si="0">MIN(E54,(E54-$D$39)*$D$40+$D$39,$D$41)</f>
        <v>0</v>
      </c>
      <c r="J54" s="108">
        <f t="shared" ref="J54:J70" si="1">E54-I54</f>
        <v>0</v>
      </c>
    </row>
    <row r="55" spans="3:10" x14ac:dyDescent="0.3">
      <c r="C55" s="14" t="s">
        <v>540</v>
      </c>
      <c r="D55" s="14">
        <v>0.12</v>
      </c>
      <c r="E55" s="108">
        <v>77</v>
      </c>
      <c r="I55" s="108">
        <f t="shared" si="0"/>
        <v>77</v>
      </c>
      <c r="J55" s="108">
        <f t="shared" si="1"/>
        <v>0</v>
      </c>
    </row>
    <row r="56" spans="3:10" x14ac:dyDescent="0.3">
      <c r="C56" s="14" t="s">
        <v>539</v>
      </c>
      <c r="D56" s="14">
        <v>0.1</v>
      </c>
      <c r="E56" s="108">
        <v>136</v>
      </c>
      <c r="I56" s="108">
        <f t="shared" si="0"/>
        <v>136</v>
      </c>
      <c r="J56" s="108">
        <f t="shared" si="1"/>
        <v>0</v>
      </c>
    </row>
    <row r="57" spans="3:10" x14ac:dyDescent="0.3">
      <c r="C57" s="14" t="s">
        <v>538</v>
      </c>
      <c r="D57" s="14">
        <v>7.0000000000000007E-2</v>
      </c>
      <c r="E57" s="108">
        <v>263</v>
      </c>
      <c r="I57" s="108">
        <f t="shared" si="0"/>
        <v>263</v>
      </c>
      <c r="J57" s="108">
        <f t="shared" si="1"/>
        <v>0</v>
      </c>
    </row>
    <row r="58" spans="3:10" x14ac:dyDescent="0.3">
      <c r="C58" s="14" t="s">
        <v>537</v>
      </c>
      <c r="D58" s="14">
        <v>0.09</v>
      </c>
      <c r="E58" s="108">
        <v>395</v>
      </c>
      <c r="I58" s="108">
        <f t="shared" si="0"/>
        <v>395</v>
      </c>
      <c r="J58" s="108">
        <f t="shared" si="1"/>
        <v>0</v>
      </c>
    </row>
    <row r="59" spans="3:10" x14ac:dyDescent="0.3">
      <c r="C59" s="14" t="s">
        <v>536</v>
      </c>
      <c r="D59" s="14">
        <v>7.0000000000000007E-2</v>
      </c>
      <c r="E59" s="108">
        <v>515</v>
      </c>
      <c r="I59" s="108">
        <f t="shared" si="0"/>
        <v>515</v>
      </c>
      <c r="J59" s="108">
        <f t="shared" si="1"/>
        <v>0</v>
      </c>
    </row>
    <row r="60" spans="3:10" x14ac:dyDescent="0.3">
      <c r="C60" s="14" t="s">
        <v>535</v>
      </c>
      <c r="D60" s="14">
        <v>0.04</v>
      </c>
      <c r="E60" s="108">
        <v>749</v>
      </c>
      <c r="I60" s="108">
        <f t="shared" si="0"/>
        <v>749</v>
      </c>
      <c r="J60" s="108">
        <f t="shared" si="1"/>
        <v>0</v>
      </c>
    </row>
    <row r="61" spans="3:10" x14ac:dyDescent="0.3">
      <c r="C61" s="14" t="s">
        <v>534</v>
      </c>
      <c r="D61" s="14">
        <v>0.04</v>
      </c>
      <c r="E61" s="108">
        <v>920</v>
      </c>
      <c r="I61" s="108">
        <f t="shared" si="0"/>
        <v>920</v>
      </c>
      <c r="J61" s="108">
        <f t="shared" si="1"/>
        <v>0</v>
      </c>
    </row>
    <row r="62" spans="3:10" x14ac:dyDescent="0.3">
      <c r="C62" s="14" t="s">
        <v>533</v>
      </c>
      <c r="D62" s="14">
        <v>0.05</v>
      </c>
      <c r="E62" s="108">
        <v>1800</v>
      </c>
      <c r="I62" s="108">
        <f t="shared" si="0"/>
        <v>1160</v>
      </c>
      <c r="J62" s="108">
        <f t="shared" si="1"/>
        <v>640</v>
      </c>
    </row>
    <row r="63" spans="3:10" x14ac:dyDescent="0.3">
      <c r="C63" s="14" t="s">
        <v>532</v>
      </c>
      <c r="D63" s="14">
        <v>0.05</v>
      </c>
      <c r="E63" s="108">
        <v>2500</v>
      </c>
      <c r="I63" s="108">
        <f t="shared" si="0"/>
        <v>1300</v>
      </c>
      <c r="J63" s="108">
        <f t="shared" si="1"/>
        <v>1200</v>
      </c>
    </row>
    <row r="64" spans="3:10" x14ac:dyDescent="0.3">
      <c r="C64" s="14" t="s">
        <v>531</v>
      </c>
      <c r="D64" s="14">
        <v>0.04</v>
      </c>
      <c r="E64" s="108">
        <v>6540</v>
      </c>
      <c r="I64" s="108">
        <f t="shared" si="0"/>
        <v>2108</v>
      </c>
      <c r="J64" s="108">
        <f t="shared" si="1"/>
        <v>4432</v>
      </c>
    </row>
    <row r="65" spans="3:11" x14ac:dyDescent="0.3">
      <c r="C65" s="14" t="s">
        <v>530</v>
      </c>
      <c r="D65" s="14">
        <v>0.03</v>
      </c>
      <c r="E65" s="108">
        <v>11500</v>
      </c>
      <c r="I65" s="108">
        <f t="shared" si="0"/>
        <v>3000</v>
      </c>
      <c r="J65" s="108">
        <f t="shared" si="1"/>
        <v>8500</v>
      </c>
    </row>
    <row r="66" spans="3:11" x14ac:dyDescent="0.3">
      <c r="C66" s="14" t="s">
        <v>529</v>
      </c>
      <c r="D66" s="14">
        <v>2.4E-2</v>
      </c>
      <c r="E66" s="108">
        <v>16600</v>
      </c>
      <c r="I66" s="108">
        <f t="shared" si="0"/>
        <v>3000</v>
      </c>
      <c r="J66" s="108">
        <f t="shared" si="1"/>
        <v>13600</v>
      </c>
    </row>
    <row r="67" spans="3:11" x14ac:dyDescent="0.3">
      <c r="C67" s="14" t="s">
        <v>528</v>
      </c>
      <c r="D67" s="14">
        <v>0.02</v>
      </c>
      <c r="E67" s="108">
        <v>27770</v>
      </c>
      <c r="I67" s="108">
        <f t="shared" si="0"/>
        <v>3000</v>
      </c>
      <c r="J67" s="108">
        <f t="shared" si="1"/>
        <v>24770</v>
      </c>
    </row>
    <row r="68" spans="3:11" x14ac:dyDescent="0.3">
      <c r="C68" s="14" t="s">
        <v>527</v>
      </c>
      <c r="D68" s="14">
        <v>3.0000000000000001E-3</v>
      </c>
      <c r="E68" s="108">
        <v>75000</v>
      </c>
      <c r="I68" s="108">
        <f t="shared" si="0"/>
        <v>3000</v>
      </c>
      <c r="J68" s="108">
        <f t="shared" si="1"/>
        <v>72000</v>
      </c>
    </row>
    <row r="69" spans="3:11" x14ac:dyDescent="0.3">
      <c r="C69" s="14" t="s">
        <v>526</v>
      </c>
      <c r="D69" s="14">
        <v>2E-3</v>
      </c>
      <c r="E69" s="108">
        <v>129995</v>
      </c>
      <c r="I69" s="108">
        <f t="shared" si="0"/>
        <v>3000</v>
      </c>
      <c r="J69" s="108">
        <f t="shared" si="1"/>
        <v>126995</v>
      </c>
    </row>
    <row r="70" spans="3:11" x14ac:dyDescent="0.3">
      <c r="C70" s="14" t="s">
        <v>525</v>
      </c>
      <c r="D70" s="14">
        <v>1E-3</v>
      </c>
      <c r="E70" s="108">
        <v>560000</v>
      </c>
      <c r="I70" s="169">
        <f t="shared" si="0"/>
        <v>3000</v>
      </c>
      <c r="J70" s="169">
        <f t="shared" si="1"/>
        <v>557000</v>
      </c>
    </row>
    <row r="71" spans="3:11" x14ac:dyDescent="0.3">
      <c r="I71" s="108">
        <f>SUMPRODUCT(I54:I70,$D$54:$D$70)</f>
        <v>626.93000000000006</v>
      </c>
      <c r="J71" s="108">
        <f>SUMPRODUCT(J54:J70,$D$54:$D$70)</f>
        <v>2373.0700000000002</v>
      </c>
      <c r="K71" t="s">
        <v>650</v>
      </c>
    </row>
    <row r="72" spans="3:11" x14ac:dyDescent="0.3">
      <c r="I72" s="14"/>
      <c r="J72" s="137">
        <f>J71/12</f>
        <v>197.75583333333336</v>
      </c>
      <c r="K72" t="s">
        <v>893</v>
      </c>
    </row>
    <row r="77" spans="3:11" x14ac:dyDescent="0.3">
      <c r="I77" s="26"/>
      <c r="J77" s="23" t="s">
        <v>892</v>
      </c>
      <c r="K77" s="23" t="s">
        <v>891</v>
      </c>
    </row>
    <row r="78" spans="3:11" x14ac:dyDescent="0.3">
      <c r="I78" s="234" t="s">
        <v>890</v>
      </c>
      <c r="J78" s="137">
        <f>J37</f>
        <v>246.47083333333333</v>
      </c>
      <c r="K78" s="14">
        <f>D44</f>
        <v>0.9</v>
      </c>
    </row>
    <row r="79" spans="3:11" x14ac:dyDescent="0.3">
      <c r="I79" s="233" t="s">
        <v>889</v>
      </c>
      <c r="J79" s="232">
        <f>J72</f>
        <v>197.75583333333336</v>
      </c>
      <c r="K79" s="23">
        <f>D45</f>
        <v>0.1</v>
      </c>
    </row>
    <row r="81" spans="11:14" x14ac:dyDescent="0.3">
      <c r="K81" s="109">
        <f>SUMPRODUCT(J78:J79,K78:K79)</f>
        <v>241.59933333333333</v>
      </c>
      <c r="L81" s="9" t="s">
        <v>888</v>
      </c>
      <c r="M81" s="9"/>
      <c r="N81" s="9"/>
    </row>
    <row r="83" spans="11:14" x14ac:dyDescent="0.3">
      <c r="K83" s="5">
        <f>K81/(1-SUM(D48:D50))</f>
        <v>301.99916666666667</v>
      </c>
      <c r="L83" s="9" t="s">
        <v>887</v>
      </c>
      <c r="M83" s="9"/>
      <c r="N83" s="9"/>
    </row>
  </sheetData>
  <mergeCells count="3">
    <mergeCell ref="C10:F10"/>
    <mergeCell ref="C17:G17"/>
    <mergeCell ref="I17:M17"/>
  </mergeCell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D9C7C-78D4-46C8-A041-501EF419206B}">
  <sheetPr>
    <tabColor theme="5" tint="0.39997558519241921"/>
  </sheetPr>
  <dimension ref="A1:M85"/>
  <sheetViews>
    <sheetView workbookViewId="0">
      <selection activeCell="B5" sqref="B5"/>
    </sheetView>
  </sheetViews>
  <sheetFormatPr defaultRowHeight="14.4" x14ac:dyDescent="0.3"/>
  <cols>
    <col min="3" max="6" width="12.109375" customWidth="1"/>
    <col min="9" max="9" width="25.6640625" customWidth="1"/>
    <col min="10" max="12" width="17.109375" customWidth="1"/>
  </cols>
  <sheetData>
    <row r="1" spans="1:13" ht="15" thickBot="1" x14ac:dyDescent="0.35">
      <c r="A1" t="s">
        <v>611</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2" spans="1:13" x14ac:dyDescent="0.3">
      <c r="C12" t="s">
        <v>610</v>
      </c>
      <c r="D12" t="s">
        <v>609</v>
      </c>
    </row>
    <row r="14" spans="1:13" x14ac:dyDescent="0.3">
      <c r="C14" t="s">
        <v>608</v>
      </c>
      <c r="D14" s="57">
        <v>0.04</v>
      </c>
    </row>
    <row r="15" spans="1:13" ht="15" thickBot="1" x14ac:dyDescent="0.35"/>
    <row r="16" spans="1:13" ht="15" thickBot="1" x14ac:dyDescent="0.35">
      <c r="C16" s="375" t="s">
        <v>4</v>
      </c>
      <c r="D16" s="376"/>
      <c r="E16" s="376"/>
      <c r="F16" s="376"/>
      <c r="G16" s="377"/>
      <c r="I16" s="375" t="s">
        <v>3</v>
      </c>
      <c r="J16" s="376"/>
      <c r="K16" s="376"/>
      <c r="L16" s="376"/>
      <c r="M16" s="377"/>
    </row>
    <row r="18" spans="3:4" x14ac:dyDescent="0.3">
      <c r="C18" t="s">
        <v>607</v>
      </c>
    </row>
    <row r="19" spans="3:4" x14ac:dyDescent="0.3">
      <c r="C19" t="s">
        <v>42</v>
      </c>
      <c r="D19" t="s">
        <v>606</v>
      </c>
    </row>
    <row r="20" spans="3:4" x14ac:dyDescent="0.3">
      <c r="C20" t="s">
        <v>578</v>
      </c>
      <c r="D20" s="88">
        <v>250</v>
      </c>
    </row>
    <row r="21" spans="3:4" x14ac:dyDescent="0.3">
      <c r="C21" t="s">
        <v>577</v>
      </c>
      <c r="D21" s="88">
        <v>225</v>
      </c>
    </row>
    <row r="22" spans="3:4" x14ac:dyDescent="0.3">
      <c r="C22" t="s">
        <v>576</v>
      </c>
      <c r="D22" s="88">
        <v>200</v>
      </c>
    </row>
    <row r="23" spans="3:4" x14ac:dyDescent="0.3">
      <c r="C23" t="s">
        <v>247</v>
      </c>
      <c r="D23" s="88">
        <v>675</v>
      </c>
    </row>
    <row r="25" spans="3:4" x14ac:dyDescent="0.3">
      <c r="C25" t="s">
        <v>605</v>
      </c>
    </row>
    <row r="26" spans="3:4" x14ac:dyDescent="0.3">
      <c r="C26" t="s">
        <v>589</v>
      </c>
      <c r="D26" t="s">
        <v>604</v>
      </c>
    </row>
    <row r="27" spans="3:4" x14ac:dyDescent="0.3">
      <c r="C27" t="s">
        <v>587</v>
      </c>
      <c r="D27">
        <v>1.3</v>
      </c>
    </row>
    <row r="28" spans="3:4" x14ac:dyDescent="0.3">
      <c r="C28" t="s">
        <v>586</v>
      </c>
      <c r="D28">
        <v>1.1000000000000001</v>
      </c>
    </row>
    <row r="29" spans="3:4" x14ac:dyDescent="0.3">
      <c r="C29" t="s">
        <v>585</v>
      </c>
      <c r="D29">
        <v>1.1000000000000001</v>
      </c>
    </row>
    <row r="30" spans="3:4" x14ac:dyDescent="0.3">
      <c r="C30" t="s">
        <v>584</v>
      </c>
      <c r="D30">
        <v>1</v>
      </c>
    </row>
    <row r="31" spans="3:4" x14ac:dyDescent="0.3">
      <c r="C31" t="s">
        <v>583</v>
      </c>
      <c r="D31">
        <v>1</v>
      </c>
    </row>
    <row r="32" spans="3:4" x14ac:dyDescent="0.3">
      <c r="C32" t="s">
        <v>582</v>
      </c>
      <c r="D32">
        <v>0.9</v>
      </c>
    </row>
    <row r="34" spans="3:6" x14ac:dyDescent="0.3">
      <c r="C34" t="s">
        <v>603</v>
      </c>
    </row>
    <row r="35" spans="3:6" x14ac:dyDescent="0.3">
      <c r="C35" t="s">
        <v>285</v>
      </c>
      <c r="D35" t="s">
        <v>578</v>
      </c>
      <c r="E35" t="s">
        <v>577</v>
      </c>
      <c r="F35" t="s">
        <v>576</v>
      </c>
    </row>
    <row r="36" spans="3:6" x14ac:dyDescent="0.3">
      <c r="C36" t="s">
        <v>594</v>
      </c>
      <c r="D36">
        <v>0.75</v>
      </c>
      <c r="E36">
        <v>1.05</v>
      </c>
      <c r="F36">
        <v>0.6</v>
      </c>
    </row>
    <row r="37" spans="3:6" x14ac:dyDescent="0.3">
      <c r="C37" t="s">
        <v>593</v>
      </c>
      <c r="D37">
        <v>0.95</v>
      </c>
      <c r="E37">
        <v>1.1000000000000001</v>
      </c>
      <c r="F37">
        <v>1.7</v>
      </c>
    </row>
    <row r="38" spans="3:6" x14ac:dyDescent="0.3">
      <c r="C38" t="s">
        <v>592</v>
      </c>
      <c r="D38">
        <v>1</v>
      </c>
      <c r="E38">
        <v>1.1000000000000001</v>
      </c>
      <c r="F38">
        <v>0.8</v>
      </c>
    </row>
    <row r="39" spans="3:6" x14ac:dyDescent="0.3">
      <c r="C39" t="s">
        <v>602</v>
      </c>
      <c r="D39">
        <v>1.1000000000000001</v>
      </c>
      <c r="E39">
        <v>1.05</v>
      </c>
      <c r="F39">
        <v>1.95</v>
      </c>
    </row>
    <row r="40" spans="3:6" x14ac:dyDescent="0.3">
      <c r="C40" t="s">
        <v>161</v>
      </c>
      <c r="D40">
        <v>1.05</v>
      </c>
      <c r="E40">
        <v>0.85</v>
      </c>
      <c r="F40">
        <v>0.15</v>
      </c>
    </row>
    <row r="42" spans="3:6" x14ac:dyDescent="0.3">
      <c r="C42" t="s">
        <v>601</v>
      </c>
    </row>
    <row r="43" spans="3:6" x14ac:dyDescent="0.3">
      <c r="C43" t="s">
        <v>67</v>
      </c>
      <c r="D43" t="s">
        <v>598</v>
      </c>
    </row>
    <row r="44" spans="3:6" x14ac:dyDescent="0.3">
      <c r="C44" s="88">
        <v>0</v>
      </c>
      <c r="D44" s="109">
        <v>0</v>
      </c>
    </row>
    <row r="45" spans="3:6" x14ac:dyDescent="0.3">
      <c r="C45" s="88">
        <v>50</v>
      </c>
      <c r="D45" s="109">
        <v>35</v>
      </c>
    </row>
    <row r="46" spans="3:6" x14ac:dyDescent="0.3">
      <c r="C46" s="88">
        <v>100</v>
      </c>
      <c r="D46" s="109">
        <v>60</v>
      </c>
    </row>
    <row r="47" spans="3:6" x14ac:dyDescent="0.3">
      <c r="C47" s="88">
        <v>150</v>
      </c>
      <c r="D47" s="109">
        <v>80</v>
      </c>
    </row>
    <row r="48" spans="3:6" x14ac:dyDescent="0.3">
      <c r="C48" s="88">
        <v>200</v>
      </c>
      <c r="D48" s="109">
        <v>90</v>
      </c>
    </row>
    <row r="50" spans="3:4" x14ac:dyDescent="0.3">
      <c r="C50" t="s">
        <v>600</v>
      </c>
    </row>
    <row r="51" spans="3:4" x14ac:dyDescent="0.3">
      <c r="C51" t="s">
        <v>599</v>
      </c>
      <c r="D51" t="s">
        <v>598</v>
      </c>
    </row>
    <row r="52" spans="3:4" x14ac:dyDescent="0.3">
      <c r="C52" s="88">
        <v>500</v>
      </c>
      <c r="D52" s="109">
        <v>140</v>
      </c>
    </row>
    <row r="53" spans="3:4" x14ac:dyDescent="0.3">
      <c r="C53" s="88">
        <v>1000</v>
      </c>
      <c r="D53" s="109">
        <v>90</v>
      </c>
    </row>
    <row r="54" spans="3:4" x14ac:dyDescent="0.3">
      <c r="C54" s="88">
        <v>1500</v>
      </c>
      <c r="D54" s="109">
        <v>50</v>
      </c>
    </row>
    <row r="55" spans="3:4" x14ac:dyDescent="0.3">
      <c r="C55" s="88">
        <v>2000</v>
      </c>
      <c r="D55" s="109">
        <v>20</v>
      </c>
    </row>
    <row r="56" spans="3:4" x14ac:dyDescent="0.3">
      <c r="C56" s="88">
        <v>3000</v>
      </c>
      <c r="D56" s="109">
        <v>10</v>
      </c>
    </row>
    <row r="57" spans="3:4" x14ac:dyDescent="0.3">
      <c r="C57" s="88">
        <v>4000</v>
      </c>
      <c r="D57" s="109">
        <v>5</v>
      </c>
    </row>
    <row r="58" spans="3:4" x14ac:dyDescent="0.3">
      <c r="C58" t="s">
        <v>597</v>
      </c>
      <c r="D58" s="109">
        <v>0</v>
      </c>
    </row>
    <row r="60" spans="3:4" x14ac:dyDescent="0.3">
      <c r="C60" t="s">
        <v>596</v>
      </c>
    </row>
    <row r="62" spans="3:4" x14ac:dyDescent="0.3">
      <c r="C62" t="s">
        <v>595</v>
      </c>
    </row>
    <row r="63" spans="3:4" x14ac:dyDescent="0.3">
      <c r="C63" t="s">
        <v>285</v>
      </c>
      <c r="D63" t="s">
        <v>588</v>
      </c>
    </row>
    <row r="64" spans="3:4" x14ac:dyDescent="0.3">
      <c r="C64" t="s">
        <v>594</v>
      </c>
      <c r="D64">
        <v>4</v>
      </c>
    </row>
    <row r="65" spans="3:4" x14ac:dyDescent="0.3">
      <c r="C65" t="s">
        <v>593</v>
      </c>
      <c r="D65">
        <v>5</v>
      </c>
    </row>
    <row r="66" spans="3:4" x14ac:dyDescent="0.3">
      <c r="C66" t="s">
        <v>592</v>
      </c>
      <c r="D66">
        <v>5</v>
      </c>
    </row>
    <row r="67" spans="3:4" x14ac:dyDescent="0.3">
      <c r="C67" t="s">
        <v>591</v>
      </c>
      <c r="D67">
        <v>6</v>
      </c>
    </row>
    <row r="68" spans="3:4" x14ac:dyDescent="0.3">
      <c r="C68" t="s">
        <v>161</v>
      </c>
      <c r="D68">
        <v>10</v>
      </c>
    </row>
    <row r="70" spans="3:4" x14ac:dyDescent="0.3">
      <c r="C70" t="s">
        <v>590</v>
      </c>
    </row>
    <row r="71" spans="3:4" x14ac:dyDescent="0.3">
      <c r="C71" t="s">
        <v>589</v>
      </c>
      <c r="D71" t="s">
        <v>588</v>
      </c>
    </row>
    <row r="72" spans="3:4" x14ac:dyDescent="0.3">
      <c r="C72" t="s">
        <v>587</v>
      </c>
      <c r="D72">
        <v>0</v>
      </c>
    </row>
    <row r="73" spans="3:4" x14ac:dyDescent="0.3">
      <c r="C73" t="s">
        <v>586</v>
      </c>
      <c r="D73">
        <v>0</v>
      </c>
    </row>
    <row r="74" spans="3:4" x14ac:dyDescent="0.3">
      <c r="C74" t="s">
        <v>585</v>
      </c>
      <c r="D74">
        <v>5</v>
      </c>
    </row>
    <row r="75" spans="3:4" x14ac:dyDescent="0.3">
      <c r="C75" t="s">
        <v>584</v>
      </c>
      <c r="D75">
        <v>5</v>
      </c>
    </row>
    <row r="76" spans="3:4" x14ac:dyDescent="0.3">
      <c r="C76" t="s">
        <v>583</v>
      </c>
      <c r="D76">
        <v>5</v>
      </c>
    </row>
    <row r="77" spans="3:4" x14ac:dyDescent="0.3">
      <c r="C77" t="s">
        <v>582</v>
      </c>
      <c r="D77">
        <v>15</v>
      </c>
    </row>
    <row r="79" spans="3:4" x14ac:dyDescent="0.3">
      <c r="C79" t="s">
        <v>581</v>
      </c>
    </row>
    <row r="80" spans="3:4" x14ac:dyDescent="0.3">
      <c r="C80" t="s">
        <v>580</v>
      </c>
      <c r="D80">
        <v>50</v>
      </c>
    </row>
    <row r="81" spans="3:4" x14ac:dyDescent="0.3">
      <c r="C81" t="s">
        <v>579</v>
      </c>
    </row>
    <row r="82" spans="3:4" x14ac:dyDescent="0.3">
      <c r="C82" t="s">
        <v>578</v>
      </c>
      <c r="D82" s="55">
        <v>1</v>
      </c>
    </row>
    <row r="83" spans="3:4" x14ac:dyDescent="0.3">
      <c r="C83" t="s">
        <v>577</v>
      </c>
      <c r="D83" s="55">
        <v>0.8</v>
      </c>
    </row>
    <row r="84" spans="3:4" x14ac:dyDescent="0.3">
      <c r="C84" t="s">
        <v>576</v>
      </c>
      <c r="D84" s="55">
        <v>0.5</v>
      </c>
    </row>
    <row r="85" spans="3:4" x14ac:dyDescent="0.3">
      <c r="C85" t="s">
        <v>575</v>
      </c>
      <c r="D85" s="109">
        <v>4000</v>
      </c>
    </row>
  </sheetData>
  <mergeCells count="3">
    <mergeCell ref="C10:F10"/>
    <mergeCell ref="C16:G16"/>
    <mergeCell ref="I16:M16"/>
  </mergeCell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81476-4517-43FD-8E62-349A399E19FD}">
  <sheetPr>
    <tabColor theme="9" tint="0.59999389629810485"/>
  </sheetPr>
  <dimension ref="A1:R85"/>
  <sheetViews>
    <sheetView workbookViewId="0">
      <selection activeCell="I48" sqref="I48"/>
    </sheetView>
  </sheetViews>
  <sheetFormatPr defaultRowHeight="14.4" x14ac:dyDescent="0.3"/>
  <cols>
    <col min="3" max="6" width="12.109375" customWidth="1"/>
    <col min="9" max="9" width="25.6640625" customWidth="1"/>
    <col min="10" max="12" width="17.109375" customWidth="1"/>
  </cols>
  <sheetData>
    <row r="1" spans="1:13" ht="15" thickBot="1" x14ac:dyDescent="0.35">
      <c r="A1" t="s">
        <v>611</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2" spans="1:13" x14ac:dyDescent="0.3">
      <c r="C12" t="s">
        <v>610</v>
      </c>
      <c r="D12" t="s">
        <v>609</v>
      </c>
    </row>
    <row r="14" spans="1:13" x14ac:dyDescent="0.3">
      <c r="C14" t="s">
        <v>608</v>
      </c>
      <c r="D14" s="57">
        <v>0.04</v>
      </c>
    </row>
    <row r="15" spans="1:13" ht="15" thickBot="1" x14ac:dyDescent="0.35"/>
    <row r="16" spans="1:13" ht="15" thickBot="1" x14ac:dyDescent="0.35">
      <c r="C16" s="375" t="s">
        <v>4</v>
      </c>
      <c r="D16" s="376"/>
      <c r="E16" s="376"/>
      <c r="F16" s="376"/>
      <c r="G16" s="377"/>
      <c r="I16" s="375" t="s">
        <v>3</v>
      </c>
      <c r="J16" s="376"/>
      <c r="K16" s="376"/>
      <c r="L16" s="376"/>
      <c r="M16" s="377"/>
    </row>
    <row r="18" spans="3:18" x14ac:dyDescent="0.3">
      <c r="C18" t="s">
        <v>607</v>
      </c>
      <c r="J18" s="66" t="s">
        <v>906</v>
      </c>
      <c r="K18" s="206" t="s">
        <v>577</v>
      </c>
      <c r="L18" s="206" t="s">
        <v>576</v>
      </c>
    </row>
    <row r="19" spans="3:18" x14ac:dyDescent="0.3">
      <c r="C19" t="s">
        <v>42</v>
      </c>
      <c r="D19" t="s">
        <v>606</v>
      </c>
      <c r="I19" s="250" t="s">
        <v>905</v>
      </c>
      <c r="J19" s="249">
        <f>D20</f>
        <v>250</v>
      </c>
      <c r="K19" s="249">
        <f>D21</f>
        <v>225</v>
      </c>
      <c r="L19" s="249">
        <f>D22</f>
        <v>200</v>
      </c>
    </row>
    <row r="20" spans="3:18" x14ac:dyDescent="0.3">
      <c r="C20" t="s">
        <v>578</v>
      </c>
      <c r="D20" s="88">
        <v>250</v>
      </c>
      <c r="I20" s="238" t="s">
        <v>287</v>
      </c>
      <c r="J20" s="248">
        <f>(1+$D$14)^4</f>
        <v>1.1698585600000002</v>
      </c>
      <c r="K20" s="248">
        <f>(1+$D$14)^4</f>
        <v>1.1698585600000002</v>
      </c>
      <c r="L20" s="248">
        <f>(1+$D$14)^4</f>
        <v>1.1698585600000002</v>
      </c>
      <c r="M20" s="9" t="s">
        <v>904</v>
      </c>
      <c r="N20" s="9"/>
      <c r="O20" s="9"/>
      <c r="P20" s="9"/>
      <c r="Q20" s="9"/>
      <c r="R20" s="9"/>
    </row>
    <row r="21" spans="3:18" x14ac:dyDescent="0.3">
      <c r="C21" t="s">
        <v>577</v>
      </c>
      <c r="D21" s="88">
        <v>225</v>
      </c>
      <c r="I21" s="238" t="s">
        <v>903</v>
      </c>
      <c r="J21" s="248">
        <f>SUMPRODUCT(D36:D40,$D$64:$D$68)/SUM($D$64:$D$68)</f>
        <v>0.995</v>
      </c>
      <c r="K21" s="248">
        <f>SUMPRODUCT(E36:E40,$D$64:$D$68)/SUM($D$64:$D$68)</f>
        <v>1</v>
      </c>
      <c r="L21" s="248">
        <f>SUMPRODUCT(F36:F40,$D$64:$D$68)/SUM($D$64:$D$68)</f>
        <v>0.93666666666666676</v>
      </c>
    </row>
    <row r="22" spans="3:18" x14ac:dyDescent="0.3">
      <c r="C22" t="s">
        <v>576</v>
      </c>
      <c r="D22" s="88">
        <v>200</v>
      </c>
      <c r="I22" s="238" t="s">
        <v>174</v>
      </c>
      <c r="J22" s="248">
        <f>SUMPRODUCT($D$27:$D$32,$D$72:$D$77)/SUM($D$72:$D$77)</f>
        <v>0.96666666666666667</v>
      </c>
      <c r="K22" s="248">
        <f>SUMPRODUCT($D$27:$D$32,$D$72:$D$77)/SUM($D$72:$D$77)</f>
        <v>0.96666666666666667</v>
      </c>
      <c r="L22" s="248">
        <f>SUMPRODUCT($D$27:$D$32,$D$72:$D$77)/SUM($D$72:$D$77)</f>
        <v>0.96666666666666667</v>
      </c>
    </row>
    <row r="23" spans="3:18" x14ac:dyDescent="0.3">
      <c r="C23" t="s">
        <v>247</v>
      </c>
      <c r="D23" s="88">
        <v>675</v>
      </c>
      <c r="I23" s="238"/>
      <c r="J23" s="247"/>
      <c r="K23" s="247"/>
      <c r="L23" s="247"/>
    </row>
    <row r="24" spans="3:18" x14ac:dyDescent="0.3">
      <c r="I24" s="238"/>
      <c r="J24" s="247"/>
      <c r="K24" s="247"/>
      <c r="L24" s="247"/>
    </row>
    <row r="25" spans="3:18" x14ac:dyDescent="0.3">
      <c r="C25" t="s">
        <v>605</v>
      </c>
      <c r="I25" s="238" t="s">
        <v>902</v>
      </c>
      <c r="J25" s="246">
        <f>PRODUCT(J19:J22)</f>
        <v>281.30223957333334</v>
      </c>
      <c r="K25" s="246">
        <f>PRODUCT(K19:K22)</f>
        <v>254.44423680000003</v>
      </c>
      <c r="L25" s="246">
        <f>PRODUCT(L19:L22)</f>
        <v>211.84838678755563</v>
      </c>
    </row>
    <row r="26" spans="3:18" x14ac:dyDescent="0.3">
      <c r="C26" t="s">
        <v>589</v>
      </c>
      <c r="D26" t="s">
        <v>604</v>
      </c>
      <c r="I26" s="34"/>
      <c r="J26" s="34"/>
      <c r="K26" s="34"/>
      <c r="L26" s="34"/>
    </row>
    <row r="27" spans="3:18" x14ac:dyDescent="0.3">
      <c r="C27" t="s">
        <v>587</v>
      </c>
      <c r="D27">
        <v>1.3</v>
      </c>
      <c r="I27" s="238" t="s">
        <v>579</v>
      </c>
      <c r="J27" s="245">
        <f>D82</f>
        <v>1</v>
      </c>
      <c r="K27" s="245">
        <f>D83</f>
        <v>0.8</v>
      </c>
      <c r="L27" s="245">
        <f>D84</f>
        <v>0.5</v>
      </c>
    </row>
    <row r="28" spans="3:18" x14ac:dyDescent="0.3">
      <c r="C28" t="s">
        <v>586</v>
      </c>
      <c r="D28">
        <v>1.1000000000000001</v>
      </c>
      <c r="I28" s="238" t="s">
        <v>901</v>
      </c>
      <c r="J28" s="244">
        <f>PRODUCT(J25:J27)</f>
        <v>281.30223957333334</v>
      </c>
      <c r="K28" s="244">
        <f>PRODUCT(K25:K27)</f>
        <v>203.55538944000003</v>
      </c>
      <c r="L28" s="244">
        <f>PRODUCT(L25:L27)</f>
        <v>105.92419339377781</v>
      </c>
    </row>
    <row r="29" spans="3:18" x14ac:dyDescent="0.3">
      <c r="C29" t="s">
        <v>585</v>
      </c>
      <c r="D29">
        <v>1.1000000000000001</v>
      </c>
      <c r="I29" s="54"/>
      <c r="J29" s="243"/>
      <c r="K29" s="242"/>
      <c r="L29" s="241"/>
    </row>
    <row r="30" spans="3:18" x14ac:dyDescent="0.3">
      <c r="C30" t="s">
        <v>584</v>
      </c>
      <c r="D30">
        <v>1</v>
      </c>
      <c r="I30" s="91"/>
      <c r="J30" s="91"/>
      <c r="K30" s="26"/>
      <c r="L30" s="240" t="s">
        <v>900</v>
      </c>
    </row>
    <row r="31" spans="3:18" x14ac:dyDescent="0.3">
      <c r="C31" t="s">
        <v>583</v>
      </c>
      <c r="D31">
        <v>1</v>
      </c>
      <c r="I31" s="238" t="s">
        <v>899</v>
      </c>
      <c r="L31" s="239">
        <f>SUM(J28:L28)</f>
        <v>590.78182240711124</v>
      </c>
    </row>
    <row r="32" spans="3:18" x14ac:dyDescent="0.3">
      <c r="C32" t="s">
        <v>582</v>
      </c>
      <c r="D32">
        <v>0.9</v>
      </c>
      <c r="I32" s="238" t="s">
        <v>898</v>
      </c>
      <c r="L32" s="237">
        <f>D45</f>
        <v>35</v>
      </c>
    </row>
    <row r="33" spans="3:12" x14ac:dyDescent="0.3">
      <c r="I33" s="238" t="s">
        <v>897</v>
      </c>
      <c r="L33" s="237">
        <f>D57</f>
        <v>5</v>
      </c>
    </row>
    <row r="34" spans="3:12" x14ac:dyDescent="0.3">
      <c r="C34" t="s">
        <v>603</v>
      </c>
      <c r="I34" s="236" t="s">
        <v>896</v>
      </c>
      <c r="J34" s="26"/>
      <c r="K34" s="26"/>
      <c r="L34" s="235">
        <f>L31-L32-L33</f>
        <v>550.78182240711124</v>
      </c>
    </row>
    <row r="35" spans="3:12" x14ac:dyDescent="0.3">
      <c r="C35" t="s">
        <v>285</v>
      </c>
      <c r="D35" t="s">
        <v>578</v>
      </c>
      <c r="E35" t="s">
        <v>577</v>
      </c>
      <c r="F35" t="s">
        <v>576</v>
      </c>
    </row>
    <row r="36" spans="3:12" x14ac:dyDescent="0.3">
      <c r="C36" t="s">
        <v>594</v>
      </c>
      <c r="D36">
        <v>0.75</v>
      </c>
      <c r="E36">
        <v>1.05</v>
      </c>
      <c r="F36">
        <v>0.6</v>
      </c>
    </row>
    <row r="37" spans="3:12" x14ac:dyDescent="0.3">
      <c r="C37" t="s">
        <v>593</v>
      </c>
      <c r="D37">
        <v>0.95</v>
      </c>
      <c r="E37">
        <v>1.1000000000000001</v>
      </c>
      <c r="F37">
        <v>1.7</v>
      </c>
    </row>
    <row r="38" spans="3:12" x14ac:dyDescent="0.3">
      <c r="C38" t="s">
        <v>592</v>
      </c>
      <c r="D38">
        <v>1</v>
      </c>
      <c r="E38">
        <v>1.1000000000000001</v>
      </c>
      <c r="F38">
        <v>0.8</v>
      </c>
    </row>
    <row r="39" spans="3:12" x14ac:dyDescent="0.3">
      <c r="C39" t="s">
        <v>602</v>
      </c>
      <c r="D39">
        <v>1.1000000000000001</v>
      </c>
      <c r="E39">
        <v>1.05</v>
      </c>
      <c r="F39">
        <v>1.95</v>
      </c>
    </row>
    <row r="40" spans="3:12" x14ac:dyDescent="0.3">
      <c r="C40" t="s">
        <v>161</v>
      </c>
      <c r="D40">
        <v>1.05</v>
      </c>
      <c r="E40">
        <v>0.85</v>
      </c>
      <c r="F40">
        <v>0.15</v>
      </c>
    </row>
    <row r="42" spans="3:12" x14ac:dyDescent="0.3">
      <c r="C42" t="s">
        <v>601</v>
      </c>
    </row>
    <row r="43" spans="3:12" x14ac:dyDescent="0.3">
      <c r="C43" t="s">
        <v>67</v>
      </c>
      <c r="D43" t="s">
        <v>598</v>
      </c>
    </row>
    <row r="44" spans="3:12" x14ac:dyDescent="0.3">
      <c r="C44" s="88">
        <v>0</v>
      </c>
      <c r="D44" s="109">
        <v>0</v>
      </c>
    </row>
    <row r="45" spans="3:12" x14ac:dyDescent="0.3">
      <c r="C45" s="88">
        <v>50</v>
      </c>
      <c r="D45" s="109">
        <v>35</v>
      </c>
    </row>
    <row r="46" spans="3:12" x14ac:dyDescent="0.3">
      <c r="C46" s="88">
        <v>100</v>
      </c>
      <c r="D46" s="109">
        <v>60</v>
      </c>
    </row>
    <row r="47" spans="3:12" x14ac:dyDescent="0.3">
      <c r="C47" s="88">
        <v>150</v>
      </c>
      <c r="D47" s="109">
        <v>80</v>
      </c>
    </row>
    <row r="48" spans="3:12" x14ac:dyDescent="0.3">
      <c r="C48" s="88">
        <v>200</v>
      </c>
      <c r="D48" s="109">
        <v>90</v>
      </c>
    </row>
    <row r="50" spans="3:4" x14ac:dyDescent="0.3">
      <c r="C50" t="s">
        <v>600</v>
      </c>
    </row>
    <row r="51" spans="3:4" x14ac:dyDescent="0.3">
      <c r="C51" t="s">
        <v>599</v>
      </c>
      <c r="D51" t="s">
        <v>598</v>
      </c>
    </row>
    <row r="52" spans="3:4" x14ac:dyDescent="0.3">
      <c r="C52" s="88">
        <v>500</v>
      </c>
      <c r="D52" s="109">
        <v>140</v>
      </c>
    </row>
    <row r="53" spans="3:4" x14ac:dyDescent="0.3">
      <c r="C53" s="88">
        <v>1000</v>
      </c>
      <c r="D53" s="109">
        <v>90</v>
      </c>
    </row>
    <row r="54" spans="3:4" x14ac:dyDescent="0.3">
      <c r="C54" s="88">
        <v>1500</v>
      </c>
      <c r="D54" s="109">
        <v>50</v>
      </c>
    </row>
    <row r="55" spans="3:4" x14ac:dyDescent="0.3">
      <c r="C55" s="88">
        <v>2000</v>
      </c>
      <c r="D55" s="109">
        <v>20</v>
      </c>
    </row>
    <row r="56" spans="3:4" x14ac:dyDescent="0.3">
      <c r="C56" s="88">
        <v>3000</v>
      </c>
      <c r="D56" s="109">
        <v>10</v>
      </c>
    </row>
    <row r="57" spans="3:4" x14ac:dyDescent="0.3">
      <c r="C57" s="88">
        <v>4000</v>
      </c>
      <c r="D57" s="109">
        <v>5</v>
      </c>
    </row>
    <row r="58" spans="3:4" x14ac:dyDescent="0.3">
      <c r="C58" t="s">
        <v>597</v>
      </c>
      <c r="D58" s="109">
        <v>0</v>
      </c>
    </row>
    <row r="60" spans="3:4" x14ac:dyDescent="0.3">
      <c r="C60" t="s">
        <v>596</v>
      </c>
    </row>
    <row r="62" spans="3:4" x14ac:dyDescent="0.3">
      <c r="C62" t="s">
        <v>595</v>
      </c>
    </row>
    <row r="63" spans="3:4" x14ac:dyDescent="0.3">
      <c r="C63" t="s">
        <v>285</v>
      </c>
      <c r="D63" t="s">
        <v>588</v>
      </c>
    </row>
    <row r="64" spans="3:4" x14ac:dyDescent="0.3">
      <c r="C64" t="s">
        <v>594</v>
      </c>
      <c r="D64">
        <v>4</v>
      </c>
    </row>
    <row r="65" spans="3:4" x14ac:dyDescent="0.3">
      <c r="C65" t="s">
        <v>593</v>
      </c>
      <c r="D65">
        <v>5</v>
      </c>
    </row>
    <row r="66" spans="3:4" x14ac:dyDescent="0.3">
      <c r="C66" t="s">
        <v>592</v>
      </c>
      <c r="D66">
        <v>5</v>
      </c>
    </row>
    <row r="67" spans="3:4" x14ac:dyDescent="0.3">
      <c r="C67" t="s">
        <v>591</v>
      </c>
      <c r="D67">
        <v>6</v>
      </c>
    </row>
    <row r="68" spans="3:4" x14ac:dyDescent="0.3">
      <c r="C68" t="s">
        <v>161</v>
      </c>
      <c r="D68">
        <v>10</v>
      </c>
    </row>
    <row r="70" spans="3:4" x14ac:dyDescent="0.3">
      <c r="C70" t="s">
        <v>590</v>
      </c>
    </row>
    <row r="71" spans="3:4" x14ac:dyDescent="0.3">
      <c r="C71" t="s">
        <v>589</v>
      </c>
      <c r="D71" t="s">
        <v>588</v>
      </c>
    </row>
    <row r="72" spans="3:4" x14ac:dyDescent="0.3">
      <c r="C72" t="s">
        <v>587</v>
      </c>
      <c r="D72">
        <v>0</v>
      </c>
    </row>
    <row r="73" spans="3:4" x14ac:dyDescent="0.3">
      <c r="C73" t="s">
        <v>586</v>
      </c>
      <c r="D73">
        <v>0</v>
      </c>
    </row>
    <row r="74" spans="3:4" x14ac:dyDescent="0.3">
      <c r="C74" t="s">
        <v>585</v>
      </c>
      <c r="D74">
        <v>5</v>
      </c>
    </row>
    <row r="75" spans="3:4" x14ac:dyDescent="0.3">
      <c r="C75" t="s">
        <v>584</v>
      </c>
      <c r="D75">
        <v>5</v>
      </c>
    </row>
    <row r="76" spans="3:4" x14ac:dyDescent="0.3">
      <c r="C76" t="s">
        <v>583</v>
      </c>
      <c r="D76">
        <v>5</v>
      </c>
    </row>
    <row r="77" spans="3:4" x14ac:dyDescent="0.3">
      <c r="C77" t="s">
        <v>582</v>
      </c>
      <c r="D77">
        <v>15</v>
      </c>
    </row>
    <row r="79" spans="3:4" x14ac:dyDescent="0.3">
      <c r="C79" t="s">
        <v>581</v>
      </c>
    </row>
    <row r="80" spans="3:4" x14ac:dyDescent="0.3">
      <c r="C80" t="s">
        <v>580</v>
      </c>
      <c r="D80">
        <v>50</v>
      </c>
    </row>
    <row r="81" spans="3:4" x14ac:dyDescent="0.3">
      <c r="C81" t="s">
        <v>579</v>
      </c>
    </row>
    <row r="82" spans="3:4" x14ac:dyDescent="0.3">
      <c r="C82" t="s">
        <v>578</v>
      </c>
      <c r="D82" s="55">
        <v>1</v>
      </c>
    </row>
    <row r="83" spans="3:4" x14ac:dyDescent="0.3">
      <c r="C83" t="s">
        <v>577</v>
      </c>
      <c r="D83" s="55">
        <v>0.8</v>
      </c>
    </row>
    <row r="84" spans="3:4" x14ac:dyDescent="0.3">
      <c r="C84" t="s">
        <v>576</v>
      </c>
      <c r="D84" s="55">
        <v>0.5</v>
      </c>
    </row>
    <row r="85" spans="3:4" x14ac:dyDescent="0.3">
      <c r="C85" t="s">
        <v>575</v>
      </c>
      <c r="D85" s="109">
        <v>4000</v>
      </c>
    </row>
  </sheetData>
  <mergeCells count="3">
    <mergeCell ref="C10:F10"/>
    <mergeCell ref="C16:G16"/>
    <mergeCell ref="I16:M16"/>
  </mergeCell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22D35-15CD-425E-8249-A9E195941DB1}">
  <sheetPr>
    <tabColor theme="1"/>
  </sheetPr>
  <dimension ref="A1"/>
  <sheetViews>
    <sheetView workbookViewId="0">
      <selection activeCell="H41" sqref="H39:H41"/>
    </sheetView>
  </sheetViews>
  <sheetFormatPr defaultRowHeight="14.4" x14ac:dyDescent="0.3"/>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82D42-ED2B-4557-9C20-162D7163A47A}">
  <sheetPr>
    <tabColor theme="5" tint="0.39997558519241921"/>
  </sheetPr>
  <dimension ref="A1:O38"/>
  <sheetViews>
    <sheetView zoomScaleNormal="100" workbookViewId="0">
      <selection activeCell="Q46" sqref="Q46"/>
    </sheetView>
  </sheetViews>
  <sheetFormatPr defaultRowHeight="14.4" x14ac:dyDescent="0.3"/>
  <cols>
    <col min="1" max="2" width="2.6640625" customWidth="1"/>
  </cols>
  <sheetData>
    <row r="1" spans="1:8" ht="15" thickBot="1" x14ac:dyDescent="0.35">
      <c r="A1" t="s">
        <v>915</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21" spans="3:15" ht="15" thickBot="1" x14ac:dyDescent="0.35"/>
    <row r="22" spans="3:15" ht="15" thickBot="1" x14ac:dyDescent="0.35">
      <c r="C22" s="375" t="s">
        <v>4</v>
      </c>
      <c r="D22" s="376"/>
      <c r="E22" s="376"/>
      <c r="F22" s="376"/>
      <c r="G22" s="376"/>
      <c r="H22" s="376"/>
      <c r="I22" s="377"/>
      <c r="K22" s="375" t="s">
        <v>3</v>
      </c>
      <c r="L22" s="376"/>
      <c r="M22" s="376"/>
      <c r="N22" s="376"/>
      <c r="O22" s="377"/>
    </row>
    <row r="27" spans="3:15" x14ac:dyDescent="0.3">
      <c r="D27" t="s">
        <v>914</v>
      </c>
    </row>
    <row r="28" spans="3:15" x14ac:dyDescent="0.3">
      <c r="C28" t="s">
        <v>912</v>
      </c>
      <c r="D28" t="s">
        <v>275</v>
      </c>
      <c r="E28" t="s">
        <v>911</v>
      </c>
      <c r="F28" t="s">
        <v>910</v>
      </c>
    </row>
    <row r="29" spans="3:15" x14ac:dyDescent="0.3">
      <c r="C29" t="s">
        <v>909</v>
      </c>
      <c r="D29">
        <v>400</v>
      </c>
      <c r="E29" s="4">
        <v>100</v>
      </c>
      <c r="F29">
        <v>0.7</v>
      </c>
    </row>
    <row r="30" spans="3:15" x14ac:dyDescent="0.3">
      <c r="C30" t="s">
        <v>908</v>
      </c>
      <c r="D30">
        <v>500</v>
      </c>
      <c r="E30" s="4">
        <v>150</v>
      </c>
      <c r="F30">
        <v>0.9</v>
      </c>
    </row>
    <row r="31" spans="3:15" x14ac:dyDescent="0.3">
      <c r="C31" t="s">
        <v>907</v>
      </c>
      <c r="D31">
        <v>100</v>
      </c>
      <c r="E31" s="4">
        <v>500</v>
      </c>
      <c r="F31">
        <v>1.1000000000000001</v>
      </c>
    </row>
    <row r="34" spans="3:6" x14ac:dyDescent="0.3">
      <c r="D34" t="s">
        <v>913</v>
      </c>
    </row>
    <row r="35" spans="3:6" x14ac:dyDescent="0.3">
      <c r="C35" t="s">
        <v>912</v>
      </c>
      <c r="D35" t="s">
        <v>275</v>
      </c>
      <c r="E35" t="s">
        <v>911</v>
      </c>
      <c r="F35" t="s">
        <v>910</v>
      </c>
    </row>
    <row r="36" spans="3:6" x14ac:dyDescent="0.3">
      <c r="C36" t="s">
        <v>909</v>
      </c>
      <c r="D36">
        <v>200</v>
      </c>
      <c r="E36" s="4">
        <v>100</v>
      </c>
      <c r="F36">
        <v>0.65</v>
      </c>
    </row>
    <row r="37" spans="3:6" x14ac:dyDescent="0.3">
      <c r="C37" t="s">
        <v>908</v>
      </c>
      <c r="D37">
        <v>250</v>
      </c>
      <c r="E37" s="4">
        <v>150</v>
      </c>
      <c r="F37">
        <v>0.95</v>
      </c>
    </row>
    <row r="38" spans="3:6" x14ac:dyDescent="0.3">
      <c r="C38" t="s">
        <v>907</v>
      </c>
      <c r="D38">
        <v>50</v>
      </c>
      <c r="E38" s="4">
        <v>500</v>
      </c>
      <c r="F38">
        <v>1.2</v>
      </c>
    </row>
  </sheetData>
  <mergeCells count="3">
    <mergeCell ref="C10:F10"/>
    <mergeCell ref="C22:I22"/>
    <mergeCell ref="K22:O22"/>
  </mergeCells>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8E836-C6C7-4EFB-90EF-17DC38B45B8E}">
  <sheetPr>
    <tabColor theme="9" tint="0.59999389629810485"/>
  </sheetPr>
  <dimension ref="A1:O45"/>
  <sheetViews>
    <sheetView zoomScaleNormal="100" workbookViewId="0">
      <selection activeCell="I63" sqref="I63"/>
    </sheetView>
  </sheetViews>
  <sheetFormatPr defaultRowHeight="14.4" x14ac:dyDescent="0.3"/>
  <cols>
    <col min="1" max="2" width="2.6640625" customWidth="1"/>
  </cols>
  <sheetData>
    <row r="1" spans="1:8" ht="15" thickBot="1" x14ac:dyDescent="0.35">
      <c r="A1" t="s">
        <v>915</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21" spans="3:15" ht="15" thickBot="1" x14ac:dyDescent="0.35"/>
    <row r="22" spans="3:15" ht="15" thickBot="1" x14ac:dyDescent="0.35">
      <c r="C22" s="375" t="s">
        <v>4</v>
      </c>
      <c r="D22" s="376"/>
      <c r="E22" s="376"/>
      <c r="F22" s="376"/>
      <c r="G22" s="376"/>
      <c r="H22" s="376"/>
      <c r="I22" s="377"/>
      <c r="K22" s="375" t="s">
        <v>3</v>
      </c>
      <c r="L22" s="376"/>
      <c r="M22" s="376"/>
      <c r="N22" s="376"/>
      <c r="O22" s="377"/>
    </row>
    <row r="27" spans="3:15" x14ac:dyDescent="0.3">
      <c r="D27" t="s">
        <v>914</v>
      </c>
      <c r="L27" t="s">
        <v>914</v>
      </c>
    </row>
    <row r="28" spans="3:15" x14ac:dyDescent="0.3">
      <c r="C28" t="s">
        <v>912</v>
      </c>
      <c r="D28" t="s">
        <v>275</v>
      </c>
      <c r="E28" t="s">
        <v>911</v>
      </c>
      <c r="F28" t="s">
        <v>910</v>
      </c>
      <c r="K28" t="s">
        <v>912</v>
      </c>
      <c r="L28" t="s">
        <v>275</v>
      </c>
      <c r="M28" t="s">
        <v>911</v>
      </c>
      <c r="N28" t="s">
        <v>910</v>
      </c>
      <c r="O28" t="s">
        <v>1286</v>
      </c>
    </row>
    <row r="29" spans="3:15" x14ac:dyDescent="0.3">
      <c r="C29" t="s">
        <v>909</v>
      </c>
      <c r="D29">
        <v>400</v>
      </c>
      <c r="E29" s="4">
        <v>100</v>
      </c>
      <c r="F29">
        <v>0.7</v>
      </c>
      <c r="K29" t="s">
        <v>909</v>
      </c>
      <c r="L29">
        <v>400</v>
      </c>
      <c r="M29" s="4">
        <v>100</v>
      </c>
      <c r="N29">
        <v>0.7</v>
      </c>
      <c r="O29" s="56">
        <f>M29/N29</f>
        <v>142.85714285714286</v>
      </c>
    </row>
    <row r="30" spans="3:15" x14ac:dyDescent="0.3">
      <c r="C30" t="s">
        <v>908</v>
      </c>
      <c r="D30">
        <v>500</v>
      </c>
      <c r="E30" s="4">
        <v>150</v>
      </c>
      <c r="F30">
        <v>0.9</v>
      </c>
      <c r="K30" t="s">
        <v>908</v>
      </c>
      <c r="L30">
        <v>500</v>
      </c>
      <c r="M30" s="4">
        <v>150</v>
      </c>
      <c r="N30">
        <v>0.9</v>
      </c>
      <c r="O30" s="56">
        <f>M30/N30</f>
        <v>166.66666666666666</v>
      </c>
    </row>
    <row r="31" spans="3:15" x14ac:dyDescent="0.3">
      <c r="C31" t="s">
        <v>907</v>
      </c>
      <c r="D31">
        <v>100</v>
      </c>
      <c r="E31" s="4">
        <v>500</v>
      </c>
      <c r="F31">
        <v>1.1000000000000001</v>
      </c>
      <c r="K31" s="26" t="s">
        <v>907</v>
      </c>
      <c r="L31" s="26">
        <v>100</v>
      </c>
      <c r="M31" s="176">
        <v>500</v>
      </c>
      <c r="N31" s="26">
        <v>1.1000000000000001</v>
      </c>
      <c r="O31" s="175">
        <f>M31/N31</f>
        <v>454.5454545454545</v>
      </c>
    </row>
    <row r="32" spans="3:15" x14ac:dyDescent="0.3">
      <c r="L32">
        <f>SUM(L29:L31)</f>
        <v>1000</v>
      </c>
      <c r="M32" s="4"/>
      <c r="O32" s="56">
        <f>SUMPRODUCT(O29:O31,L29:L31)/SUM(L29:L31)</f>
        <v>185.93073593073592</v>
      </c>
    </row>
    <row r="33" spans="3:15" x14ac:dyDescent="0.3">
      <c r="M33" s="4"/>
      <c r="O33" s="56"/>
    </row>
    <row r="34" spans="3:15" x14ac:dyDescent="0.3">
      <c r="D34" t="s">
        <v>913</v>
      </c>
      <c r="L34" t="s">
        <v>913</v>
      </c>
    </row>
    <row r="35" spans="3:15" x14ac:dyDescent="0.3">
      <c r="C35" t="s">
        <v>912</v>
      </c>
      <c r="D35" t="s">
        <v>275</v>
      </c>
      <c r="E35" t="s">
        <v>911</v>
      </c>
      <c r="F35" t="s">
        <v>910</v>
      </c>
      <c r="K35" t="s">
        <v>912</v>
      </c>
      <c r="L35" t="s">
        <v>275</v>
      </c>
      <c r="M35" t="s">
        <v>911</v>
      </c>
      <c r="N35" t="s">
        <v>910</v>
      </c>
      <c r="O35" t="s">
        <v>1286</v>
      </c>
    </row>
    <row r="36" spans="3:15" x14ac:dyDescent="0.3">
      <c r="C36" t="s">
        <v>909</v>
      </c>
      <c r="D36">
        <v>200</v>
      </c>
      <c r="E36" s="4">
        <v>100</v>
      </c>
      <c r="F36">
        <v>0.65</v>
      </c>
      <c r="K36" t="s">
        <v>909</v>
      </c>
      <c r="L36">
        <v>200</v>
      </c>
      <c r="M36" s="4">
        <v>100</v>
      </c>
      <c r="N36">
        <v>0.65</v>
      </c>
      <c r="O36" s="56">
        <f>M36/N36</f>
        <v>153.84615384615384</v>
      </c>
    </row>
    <row r="37" spans="3:15" x14ac:dyDescent="0.3">
      <c r="C37" t="s">
        <v>908</v>
      </c>
      <c r="D37">
        <v>250</v>
      </c>
      <c r="E37" s="4">
        <v>150</v>
      </c>
      <c r="F37">
        <v>0.95</v>
      </c>
      <c r="K37" t="s">
        <v>908</v>
      </c>
      <c r="L37">
        <v>250</v>
      </c>
      <c r="M37" s="4">
        <v>150</v>
      </c>
      <c r="N37">
        <v>0.95</v>
      </c>
      <c r="O37" s="56">
        <f>M37/N37</f>
        <v>157.89473684210526</v>
      </c>
    </row>
    <row r="38" spans="3:15" x14ac:dyDescent="0.3">
      <c r="C38" t="s">
        <v>907</v>
      </c>
      <c r="D38">
        <v>50</v>
      </c>
      <c r="E38" s="4">
        <v>500</v>
      </c>
      <c r="F38">
        <v>1.2</v>
      </c>
      <c r="K38" s="26" t="s">
        <v>907</v>
      </c>
      <c r="L38" s="26">
        <v>50</v>
      </c>
      <c r="M38" s="176">
        <v>500</v>
      </c>
      <c r="N38" s="26">
        <v>1.2</v>
      </c>
      <c r="O38" s="175">
        <f>M38/N38</f>
        <v>416.66666666666669</v>
      </c>
    </row>
    <row r="39" spans="3:15" x14ac:dyDescent="0.3">
      <c r="L39">
        <f>SUM(L36:L38)</f>
        <v>500</v>
      </c>
      <c r="M39" s="4"/>
      <c r="O39" s="56">
        <f>SUMPRODUCT(O36:O38,L36:L38)/SUM(L36:L38)</f>
        <v>182.15249662618083</v>
      </c>
    </row>
    <row r="41" spans="3:15" x14ac:dyDescent="0.3">
      <c r="K41" s="84" t="s">
        <v>1285</v>
      </c>
      <c r="M41" s="4"/>
      <c r="O41" s="56">
        <f>(O39*L39+O32*L32)/(L39+L32)</f>
        <v>184.67132282921756</v>
      </c>
    </row>
    <row r="42" spans="3:15" x14ac:dyDescent="0.3">
      <c r="M42" s="4"/>
    </row>
    <row r="43" spans="3:15" x14ac:dyDescent="0.3">
      <c r="M43" s="4"/>
      <c r="O43" t="s">
        <v>1284</v>
      </c>
    </row>
    <row r="44" spans="3:15" x14ac:dyDescent="0.3">
      <c r="M44" s="4"/>
      <c r="N44" t="s">
        <v>914</v>
      </c>
      <c r="O44" s="283">
        <f>O32/O41</f>
        <v>1.0068197545900672</v>
      </c>
    </row>
    <row r="45" spans="3:15" x14ac:dyDescent="0.3">
      <c r="M45" s="4"/>
      <c r="N45" t="s">
        <v>913</v>
      </c>
      <c r="O45" s="283">
        <f>O39/O41</f>
        <v>0.98636049081986532</v>
      </c>
    </row>
  </sheetData>
  <mergeCells count="3">
    <mergeCell ref="C10:F10"/>
    <mergeCell ref="C22:I22"/>
    <mergeCell ref="K22:O22"/>
  </mergeCells>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ECF7D-5830-4D41-BB6C-CD6A8EAE362F}">
  <sheetPr>
    <tabColor theme="5" tint="0.39997558519241921"/>
  </sheetPr>
  <dimension ref="A1:R46"/>
  <sheetViews>
    <sheetView workbookViewId="0">
      <selection activeCell="Q46" sqref="Q46"/>
    </sheetView>
  </sheetViews>
  <sheetFormatPr defaultRowHeight="14.4" x14ac:dyDescent="0.3"/>
  <cols>
    <col min="3" max="3" width="16.6640625" customWidth="1"/>
    <col min="4" max="4" width="13" customWidth="1"/>
    <col min="5" max="5" width="13.33203125" customWidth="1"/>
    <col min="8" max="8" width="9.6640625" bestFit="1" customWidth="1"/>
    <col min="16" max="17" width="11.88671875" customWidth="1"/>
    <col min="18" max="18" width="12.21875" customWidth="1"/>
  </cols>
  <sheetData>
    <row r="1" spans="1:7" ht="15" thickBot="1" x14ac:dyDescent="0.35">
      <c r="A1" t="s">
        <v>942</v>
      </c>
    </row>
    <row r="2" spans="1:7" ht="15" thickBot="1" x14ac:dyDescent="0.35">
      <c r="F2" s="11" t="s">
        <v>13</v>
      </c>
      <c r="G2" s="10"/>
    </row>
    <row r="3" spans="1:7" x14ac:dyDescent="0.3">
      <c r="F3" s="9" t="s">
        <v>12</v>
      </c>
      <c r="G3" s="9"/>
    </row>
    <row r="4" spans="1:7" ht="15" thickBot="1" x14ac:dyDescent="0.35">
      <c r="F4" s="8" t="s">
        <v>11</v>
      </c>
      <c r="G4" s="8"/>
    </row>
    <row r="5" spans="1:7" ht="15.6" thickTop="1" thickBot="1" x14ac:dyDescent="0.35">
      <c r="F5" s="7" t="s">
        <v>10</v>
      </c>
      <c r="G5" s="7"/>
    </row>
    <row r="6" spans="1:7" ht="15" thickTop="1" x14ac:dyDescent="0.3">
      <c r="F6" s="5" t="s">
        <v>9</v>
      </c>
      <c r="G6" s="12"/>
    </row>
    <row r="7" spans="1:7" ht="15" thickBot="1" x14ac:dyDescent="0.35"/>
    <row r="8" spans="1:7" ht="15" thickBot="1" x14ac:dyDescent="0.35">
      <c r="C8" s="375" t="s">
        <v>8</v>
      </c>
      <c r="D8" s="377"/>
    </row>
    <row r="9" spans="1:7" s="83" customFormat="1" x14ac:dyDescent="0.3"/>
    <row r="10" spans="1:7" s="83" customFormat="1" x14ac:dyDescent="0.3">
      <c r="D10" t="s">
        <v>941</v>
      </c>
    </row>
    <row r="11" spans="1:7" s="83" customFormat="1" x14ac:dyDescent="0.3">
      <c r="D11" t="s">
        <v>940</v>
      </c>
    </row>
    <row r="12" spans="1:7" s="83" customFormat="1" x14ac:dyDescent="0.3"/>
    <row r="13" spans="1:7" s="83" customFormat="1" x14ac:dyDescent="0.3">
      <c r="D13" s="83" t="s">
        <v>939</v>
      </c>
    </row>
    <row r="14" spans="1:7" s="83" customFormat="1" x14ac:dyDescent="0.3">
      <c r="D14" t="s">
        <v>938</v>
      </c>
    </row>
    <row r="15" spans="1:7" s="83" customFormat="1" x14ac:dyDescent="0.3">
      <c r="C15" s="251">
        <v>400</v>
      </c>
      <c r="D15" t="s">
        <v>937</v>
      </c>
    </row>
    <row r="16" spans="1:7" s="83" customFormat="1" x14ac:dyDescent="0.3">
      <c r="D16" t="s">
        <v>936</v>
      </c>
    </row>
    <row r="17" spans="3:18" s="83" customFormat="1" x14ac:dyDescent="0.3"/>
    <row r="18" spans="3:18" s="83" customFormat="1" x14ac:dyDescent="0.3">
      <c r="D18" t="s">
        <v>935</v>
      </c>
    </row>
    <row r="19" spans="3:18" s="83" customFormat="1" x14ac:dyDescent="0.3">
      <c r="D19" t="s">
        <v>934</v>
      </c>
    </row>
    <row r="20" spans="3:18" s="83" customFormat="1" x14ac:dyDescent="0.3">
      <c r="C20"/>
    </row>
    <row r="21" spans="3:18" s="83" customFormat="1" x14ac:dyDescent="0.3">
      <c r="C21"/>
    </row>
    <row r="22" spans="3:18" s="83" customFormat="1" x14ac:dyDescent="0.3">
      <c r="C22" t="s">
        <v>933</v>
      </c>
    </row>
    <row r="23" spans="3:18" s="83" customFormat="1" x14ac:dyDescent="0.3">
      <c r="C23" s="252">
        <v>0.1</v>
      </c>
      <c r="D23" t="s">
        <v>932</v>
      </c>
    </row>
    <row r="24" spans="3:18" s="83" customFormat="1" x14ac:dyDescent="0.3">
      <c r="C24" s="251">
        <v>400</v>
      </c>
      <c r="D24" t="s">
        <v>931</v>
      </c>
    </row>
    <row r="25" spans="3:18" s="83" customFormat="1" x14ac:dyDescent="0.3">
      <c r="C25" s="84">
        <v>5</v>
      </c>
      <c r="D25" t="s">
        <v>930</v>
      </c>
    </row>
    <row r="26" spans="3:18" s="83" customFormat="1" x14ac:dyDescent="0.3">
      <c r="C26" s="84">
        <v>5</v>
      </c>
      <c r="D26" t="s">
        <v>929</v>
      </c>
    </row>
    <row r="27" spans="3:18" s="83" customFormat="1" ht="15" thickBot="1" x14ac:dyDescent="0.35">
      <c r="C27"/>
    </row>
    <row r="28" spans="3:18" ht="15" thickBot="1" x14ac:dyDescent="0.35">
      <c r="C28" s="375" t="s">
        <v>4</v>
      </c>
      <c r="D28" s="376"/>
      <c r="E28" s="376"/>
      <c r="F28" s="377"/>
      <c r="H28" s="375" t="s">
        <v>3</v>
      </c>
      <c r="I28" s="376"/>
      <c r="J28" s="376"/>
      <c r="K28" s="376"/>
      <c r="L28" s="376"/>
      <c r="M28" s="376"/>
      <c r="N28" s="376"/>
      <c r="O28" s="376"/>
      <c r="P28" s="376"/>
      <c r="Q28" s="376"/>
      <c r="R28" s="377"/>
    </row>
    <row r="29" spans="3:18" x14ac:dyDescent="0.3">
      <c r="C29" s="112"/>
      <c r="D29" s="112"/>
      <c r="E29" s="112"/>
      <c r="F29" s="112"/>
      <c r="G29" s="112"/>
      <c r="H29" s="112"/>
    </row>
    <row r="30" spans="3:18" ht="28.8" x14ac:dyDescent="0.3">
      <c r="C30" s="206" t="s">
        <v>928</v>
      </c>
      <c r="D30" s="206" t="s">
        <v>927</v>
      </c>
      <c r="E30" s="66" t="s">
        <v>926</v>
      </c>
    </row>
    <row r="31" spans="3:18" x14ac:dyDescent="0.3">
      <c r="C31" s="206" t="s">
        <v>74</v>
      </c>
      <c r="D31" s="206" t="s">
        <v>925</v>
      </c>
      <c r="E31" s="206">
        <v>500</v>
      </c>
    </row>
    <row r="32" spans="3:18" x14ac:dyDescent="0.3">
      <c r="C32" s="206" t="s">
        <v>73</v>
      </c>
      <c r="D32" s="206" t="s">
        <v>924</v>
      </c>
      <c r="E32" s="206">
        <v>600</v>
      </c>
    </row>
    <row r="33" spans="3:5" x14ac:dyDescent="0.3">
      <c r="C33" s="206" t="s">
        <v>72</v>
      </c>
      <c r="D33" s="206" t="s">
        <v>923</v>
      </c>
      <c r="E33" s="206">
        <v>700</v>
      </c>
    </row>
    <row r="34" spans="3:5" x14ac:dyDescent="0.3">
      <c r="C34" s="84"/>
    </row>
    <row r="36" spans="3:5" x14ac:dyDescent="0.3">
      <c r="C36" t="s">
        <v>922</v>
      </c>
    </row>
    <row r="37" spans="3:5" ht="28.8" x14ac:dyDescent="0.3">
      <c r="C37" s="206"/>
      <c r="D37" s="66" t="s">
        <v>921</v>
      </c>
      <c r="E37" s="66" t="s">
        <v>920</v>
      </c>
    </row>
    <row r="38" spans="3:5" x14ac:dyDescent="0.3">
      <c r="C38" s="206" t="s">
        <v>919</v>
      </c>
      <c r="D38" s="206">
        <v>75</v>
      </c>
      <c r="E38" s="206">
        <v>0.5</v>
      </c>
    </row>
    <row r="39" spans="3:5" x14ac:dyDescent="0.3">
      <c r="C39" s="206" t="s">
        <v>918</v>
      </c>
      <c r="D39" s="206">
        <v>100</v>
      </c>
      <c r="E39" s="206">
        <v>1</v>
      </c>
    </row>
    <row r="40" spans="3:5" x14ac:dyDescent="0.3">
      <c r="C40" s="206" t="s">
        <v>917</v>
      </c>
      <c r="D40" s="206">
        <v>25</v>
      </c>
      <c r="E40" s="206">
        <v>2.5</v>
      </c>
    </row>
    <row r="41" spans="3:5" x14ac:dyDescent="0.3">
      <c r="C41" s="206" t="s">
        <v>916</v>
      </c>
      <c r="D41" s="206">
        <v>200</v>
      </c>
      <c r="E41" s="206">
        <v>1</v>
      </c>
    </row>
    <row r="45" spans="3:5" x14ac:dyDescent="0.3">
      <c r="C45" s="206" t="str">
        <f>C38</f>
        <v>Low Risk</v>
      </c>
      <c r="D45" s="206" t="str">
        <f>C39</f>
        <v>Average Risk</v>
      </c>
      <c r="E45" s="206" t="str">
        <f>C40</f>
        <v>High Risk</v>
      </c>
    </row>
    <row r="46" spans="3:5" x14ac:dyDescent="0.3">
      <c r="C46" s="206">
        <f>E38</f>
        <v>0.5</v>
      </c>
      <c r="D46" s="206">
        <f>E39</f>
        <v>1</v>
      </c>
      <c r="E46" s="206">
        <f>E40</f>
        <v>2.5</v>
      </c>
    </row>
  </sheetData>
  <mergeCells count="3">
    <mergeCell ref="C8:D8"/>
    <mergeCell ref="C28:F28"/>
    <mergeCell ref="H28:R2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BEAF4-CD80-4047-8C13-02248A8C79DD}">
  <sheetPr>
    <tabColor theme="1"/>
  </sheetPr>
  <dimension ref="A1"/>
  <sheetViews>
    <sheetView workbookViewId="0">
      <selection activeCell="H41" sqref="H39:H41"/>
    </sheetView>
  </sheetViews>
  <sheetFormatPr defaultRowHeight="14.4" x14ac:dyDescent="0.3"/>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EA628-A273-4BB2-B909-247824344973}">
  <sheetPr>
    <tabColor theme="9" tint="0.59999389629810485"/>
  </sheetPr>
  <dimension ref="A1:V69"/>
  <sheetViews>
    <sheetView topLeftCell="A30" workbookViewId="0">
      <selection activeCell="I63" sqref="I63"/>
    </sheetView>
  </sheetViews>
  <sheetFormatPr defaultRowHeight="14.4" x14ac:dyDescent="0.3"/>
  <cols>
    <col min="3" max="3" width="16.6640625" customWidth="1"/>
    <col min="4" max="4" width="13" customWidth="1"/>
    <col min="5" max="5" width="13.33203125" customWidth="1"/>
    <col min="8" max="8" width="9.6640625" bestFit="1" customWidth="1"/>
    <col min="16" max="17" width="11.88671875" customWidth="1"/>
    <col min="18" max="18" width="12.21875" customWidth="1"/>
  </cols>
  <sheetData>
    <row r="1" spans="1:7" ht="15" thickBot="1" x14ac:dyDescent="0.35">
      <c r="A1" t="s">
        <v>942</v>
      </c>
    </row>
    <row r="2" spans="1:7" ht="15" thickBot="1" x14ac:dyDescent="0.35">
      <c r="F2" s="11" t="s">
        <v>13</v>
      </c>
      <c r="G2" s="10"/>
    </row>
    <row r="3" spans="1:7" x14ac:dyDescent="0.3">
      <c r="F3" s="9" t="s">
        <v>12</v>
      </c>
      <c r="G3" s="9"/>
    </row>
    <row r="4" spans="1:7" ht="15" thickBot="1" x14ac:dyDescent="0.35">
      <c r="F4" s="8" t="s">
        <v>11</v>
      </c>
      <c r="G4" s="8"/>
    </row>
    <row r="5" spans="1:7" ht="15.6" thickTop="1" thickBot="1" x14ac:dyDescent="0.35">
      <c r="F5" s="7" t="s">
        <v>10</v>
      </c>
      <c r="G5" s="7"/>
    </row>
    <row r="6" spans="1:7" ht="15" thickTop="1" x14ac:dyDescent="0.3">
      <c r="F6" s="5" t="s">
        <v>9</v>
      </c>
      <c r="G6" s="12"/>
    </row>
    <row r="7" spans="1:7" ht="15" thickBot="1" x14ac:dyDescent="0.35"/>
    <row r="8" spans="1:7" ht="15" thickBot="1" x14ac:dyDescent="0.35">
      <c r="C8" s="375" t="s">
        <v>8</v>
      </c>
      <c r="D8" s="377"/>
    </row>
    <row r="9" spans="1:7" s="83" customFormat="1" x14ac:dyDescent="0.3"/>
    <row r="10" spans="1:7" s="83" customFormat="1" x14ac:dyDescent="0.3">
      <c r="D10" t="s">
        <v>941</v>
      </c>
    </row>
    <row r="11" spans="1:7" s="83" customFormat="1" x14ac:dyDescent="0.3">
      <c r="D11" t="s">
        <v>940</v>
      </c>
    </row>
    <row r="12" spans="1:7" s="83" customFormat="1" x14ac:dyDescent="0.3"/>
    <row r="13" spans="1:7" s="83" customFormat="1" x14ac:dyDescent="0.3">
      <c r="D13" s="83" t="s">
        <v>939</v>
      </c>
    </row>
    <row r="14" spans="1:7" s="83" customFormat="1" x14ac:dyDescent="0.3">
      <c r="D14" t="s">
        <v>938</v>
      </c>
    </row>
    <row r="15" spans="1:7" s="83" customFormat="1" x14ac:dyDescent="0.3">
      <c r="C15" s="251">
        <v>400</v>
      </c>
      <c r="D15" t="s">
        <v>937</v>
      </c>
    </row>
    <row r="16" spans="1:7" s="83" customFormat="1" x14ac:dyDescent="0.3">
      <c r="D16" t="s">
        <v>936</v>
      </c>
    </row>
    <row r="17" spans="3:18" s="83" customFormat="1" x14ac:dyDescent="0.3"/>
    <row r="18" spans="3:18" s="83" customFormat="1" x14ac:dyDescent="0.3">
      <c r="D18" t="s">
        <v>935</v>
      </c>
    </row>
    <row r="19" spans="3:18" s="83" customFormat="1" x14ac:dyDescent="0.3">
      <c r="D19" t="s">
        <v>934</v>
      </c>
    </row>
    <row r="20" spans="3:18" s="83" customFormat="1" x14ac:dyDescent="0.3">
      <c r="C20"/>
    </row>
    <row r="21" spans="3:18" s="83" customFormat="1" x14ac:dyDescent="0.3">
      <c r="C21"/>
    </row>
    <row r="22" spans="3:18" s="83" customFormat="1" x14ac:dyDescent="0.3">
      <c r="C22" t="s">
        <v>933</v>
      </c>
    </row>
    <row r="23" spans="3:18" s="83" customFormat="1" x14ac:dyDescent="0.3">
      <c r="C23" s="252">
        <v>0.1</v>
      </c>
      <c r="D23" t="s">
        <v>932</v>
      </c>
    </row>
    <row r="24" spans="3:18" s="83" customFormat="1" x14ac:dyDescent="0.3">
      <c r="C24" s="251">
        <v>400</v>
      </c>
      <c r="D24" t="s">
        <v>931</v>
      </c>
    </row>
    <row r="25" spans="3:18" s="83" customFormat="1" x14ac:dyDescent="0.3">
      <c r="C25" s="84">
        <v>5</v>
      </c>
      <c r="D25" t="s">
        <v>930</v>
      </c>
    </row>
    <row r="26" spans="3:18" s="83" customFormat="1" x14ac:dyDescent="0.3">
      <c r="C26" s="84">
        <v>5</v>
      </c>
      <c r="D26" t="s">
        <v>929</v>
      </c>
    </row>
    <row r="27" spans="3:18" s="83" customFormat="1" ht="15" thickBot="1" x14ac:dyDescent="0.35">
      <c r="C27"/>
    </row>
    <row r="28" spans="3:18" ht="15" thickBot="1" x14ac:dyDescent="0.35">
      <c r="C28" s="375" t="s">
        <v>4</v>
      </c>
      <c r="D28" s="376"/>
      <c r="E28" s="376"/>
      <c r="F28" s="377"/>
      <c r="H28" s="375" t="s">
        <v>3</v>
      </c>
      <c r="I28" s="376"/>
      <c r="J28" s="376"/>
      <c r="K28" s="376"/>
      <c r="L28" s="376"/>
      <c r="M28" s="376"/>
      <c r="N28" s="376"/>
      <c r="O28" s="376"/>
      <c r="P28" s="376"/>
      <c r="Q28" s="376"/>
      <c r="R28" s="377"/>
    </row>
    <row r="29" spans="3:18" x14ac:dyDescent="0.3">
      <c r="C29" s="112"/>
      <c r="D29" s="112"/>
      <c r="E29" s="112"/>
      <c r="F29" s="112"/>
      <c r="G29" s="112"/>
      <c r="H29" s="112"/>
    </row>
    <row r="30" spans="3:18" ht="28.8" x14ac:dyDescent="0.3">
      <c r="C30" s="206" t="s">
        <v>928</v>
      </c>
      <c r="D30" s="206" t="s">
        <v>927</v>
      </c>
      <c r="E30" s="66" t="s">
        <v>926</v>
      </c>
      <c r="H30" s="84" t="s">
        <v>928</v>
      </c>
      <c r="I30" t="s">
        <v>927</v>
      </c>
      <c r="J30" t="s">
        <v>1292</v>
      </c>
      <c r="K30" t="s">
        <v>1291</v>
      </c>
    </row>
    <row r="31" spans="3:18" x14ac:dyDescent="0.3">
      <c r="C31" s="206" t="s">
        <v>74</v>
      </c>
      <c r="D31" s="206" t="s">
        <v>925</v>
      </c>
      <c r="E31" s="206">
        <v>500</v>
      </c>
      <c r="H31" s="84" t="s">
        <v>74</v>
      </c>
      <c r="I31" t="s">
        <v>925</v>
      </c>
      <c r="J31" s="88">
        <v>400</v>
      </c>
      <c r="K31" s="88">
        <f>E31-J31</f>
        <v>100</v>
      </c>
    </row>
    <row r="32" spans="3:18" x14ac:dyDescent="0.3">
      <c r="C32" s="206" t="s">
        <v>73</v>
      </c>
      <c r="D32" s="206" t="s">
        <v>924</v>
      </c>
      <c r="E32" s="206">
        <v>600</v>
      </c>
      <c r="H32" s="84" t="s">
        <v>73</v>
      </c>
      <c r="I32" t="s">
        <v>924</v>
      </c>
      <c r="J32" s="88">
        <v>400</v>
      </c>
      <c r="K32" s="88">
        <f>E32-J32</f>
        <v>200</v>
      </c>
      <c r="L32" s="182" t="s">
        <v>1300</v>
      </c>
    </row>
    <row r="33" spans="3:22" x14ac:dyDescent="0.3">
      <c r="C33" s="206" t="s">
        <v>72</v>
      </c>
      <c r="D33" s="206" t="s">
        <v>923</v>
      </c>
      <c r="E33" s="206">
        <v>700</v>
      </c>
      <c r="H33" s="84" t="s">
        <v>72</v>
      </c>
      <c r="I33" t="s">
        <v>923</v>
      </c>
      <c r="J33" s="88">
        <v>400</v>
      </c>
      <c r="K33" s="88">
        <f>E33-J33</f>
        <v>300</v>
      </c>
    </row>
    <row r="34" spans="3:22" x14ac:dyDescent="0.3">
      <c r="C34" s="84"/>
    </row>
    <row r="35" spans="3:22" x14ac:dyDescent="0.3">
      <c r="P35" s="182" t="s">
        <v>168</v>
      </c>
    </row>
    <row r="36" spans="3:22" x14ac:dyDescent="0.3">
      <c r="C36" t="s">
        <v>922</v>
      </c>
      <c r="I36" t="s">
        <v>431</v>
      </c>
    </row>
    <row r="37" spans="3:22" ht="28.8" x14ac:dyDescent="0.3">
      <c r="C37" s="206"/>
      <c r="D37" s="66" t="s">
        <v>921</v>
      </c>
      <c r="E37" s="66" t="s">
        <v>920</v>
      </c>
      <c r="H37" s="255" t="s">
        <v>1299</v>
      </c>
      <c r="I37" s="255" t="s">
        <v>284</v>
      </c>
      <c r="J37" s="255" t="s">
        <v>1294</v>
      </c>
      <c r="K37" s="255" t="s">
        <v>920</v>
      </c>
      <c r="L37" s="255" t="s">
        <v>274</v>
      </c>
      <c r="M37" s="255" t="s">
        <v>1292</v>
      </c>
      <c r="N37" s="255" t="s">
        <v>1291</v>
      </c>
      <c r="O37" s="255"/>
      <c r="P37" s="255" t="s">
        <v>1298</v>
      </c>
      <c r="Q37" s="255" t="s">
        <v>1297</v>
      </c>
      <c r="R37" s="255" t="s">
        <v>1296</v>
      </c>
      <c r="S37" t="s">
        <v>978</v>
      </c>
    </row>
    <row r="38" spans="3:22" x14ac:dyDescent="0.3">
      <c r="C38" s="206" t="s">
        <v>919</v>
      </c>
      <c r="D38" s="206">
        <v>75</v>
      </c>
      <c r="E38" s="206">
        <v>0.5</v>
      </c>
      <c r="H38" s="289">
        <f>L38/L40</f>
        <v>0.7142857142857143</v>
      </c>
      <c r="I38" s="255" t="s">
        <v>74</v>
      </c>
      <c r="J38" s="255">
        <f t="shared" ref="J38:K40" si="0">D38</f>
        <v>75</v>
      </c>
      <c r="K38" s="255">
        <f t="shared" si="0"/>
        <v>0.5</v>
      </c>
      <c r="L38" s="288">
        <f>E31</f>
        <v>500</v>
      </c>
      <c r="M38" s="288">
        <f>$J$31</f>
        <v>400</v>
      </c>
      <c r="N38" s="288">
        <f>L38-M38</f>
        <v>100</v>
      </c>
      <c r="O38" s="255"/>
      <c r="P38" s="288">
        <f>J38*K38*L38</f>
        <v>18750</v>
      </c>
      <c r="Q38" s="288">
        <f>J38*L38</f>
        <v>37500</v>
      </c>
      <c r="R38" s="286">
        <f>P38/Q38</f>
        <v>0.5</v>
      </c>
    </row>
    <row r="39" spans="3:22" x14ac:dyDescent="0.3">
      <c r="C39" s="206" t="s">
        <v>918</v>
      </c>
      <c r="D39" s="206">
        <v>100</v>
      </c>
      <c r="E39" s="206">
        <v>1</v>
      </c>
      <c r="H39" s="289">
        <f>L39/L40</f>
        <v>0.8571428571428571</v>
      </c>
      <c r="I39" s="255" t="s">
        <v>73</v>
      </c>
      <c r="J39" s="255">
        <f t="shared" si="0"/>
        <v>100</v>
      </c>
      <c r="K39" s="255">
        <f t="shared" si="0"/>
        <v>1</v>
      </c>
      <c r="L39" s="288">
        <f>E32</f>
        <v>600</v>
      </c>
      <c r="M39" s="288">
        <f>$J$32</f>
        <v>400</v>
      </c>
      <c r="N39" s="288">
        <f>L39-M39</f>
        <v>200</v>
      </c>
      <c r="O39" s="255"/>
      <c r="P39" s="288">
        <f>J39*K39*L39</f>
        <v>60000</v>
      </c>
      <c r="Q39" s="288">
        <f>J39*L39</f>
        <v>60000</v>
      </c>
      <c r="R39" s="286">
        <f>P39/Q39</f>
        <v>1</v>
      </c>
    </row>
    <row r="40" spans="3:22" x14ac:dyDescent="0.3">
      <c r="C40" s="206" t="s">
        <v>917</v>
      </c>
      <c r="D40" s="206">
        <v>25</v>
      </c>
      <c r="E40" s="206">
        <v>2.5</v>
      </c>
      <c r="H40" s="289">
        <f>L40/L40</f>
        <v>1</v>
      </c>
      <c r="I40" s="255" t="s">
        <v>72</v>
      </c>
      <c r="J40" s="255">
        <f t="shared" si="0"/>
        <v>25</v>
      </c>
      <c r="K40" s="255">
        <f t="shared" si="0"/>
        <v>2.5</v>
      </c>
      <c r="L40" s="288">
        <f>E33</f>
        <v>700</v>
      </c>
      <c r="M40" s="288">
        <f>$J$33</f>
        <v>400</v>
      </c>
      <c r="N40" s="288">
        <f>L40-M40</f>
        <v>300</v>
      </c>
      <c r="O40" s="255"/>
      <c r="P40" s="288">
        <f>J40*K40*L40</f>
        <v>43750</v>
      </c>
      <c r="Q40" s="288">
        <f>J40*L40</f>
        <v>17500</v>
      </c>
      <c r="R40" s="286">
        <f>P40/Q40</f>
        <v>2.5</v>
      </c>
    </row>
    <row r="41" spans="3:22" x14ac:dyDescent="0.3">
      <c r="C41" s="206" t="s">
        <v>916</v>
      </c>
      <c r="D41" s="206">
        <v>200</v>
      </c>
      <c r="E41" s="206">
        <v>1</v>
      </c>
      <c r="P41" s="287">
        <f>SUMPRODUCT(J38:J40,K38:K40,L38:L40)</f>
        <v>122500</v>
      </c>
      <c r="Q41" s="284">
        <f>SUMPRODUCT(J38:J40,L38:L40)</f>
        <v>115000</v>
      </c>
      <c r="R41" s="286">
        <f>P41/Q41</f>
        <v>1.0652173913043479</v>
      </c>
      <c r="S41" s="285">
        <f>P41/Q41-1</f>
        <v>6.5217391304347894E-2</v>
      </c>
    </row>
    <row r="42" spans="3:22" x14ac:dyDescent="0.3">
      <c r="I42" t="s">
        <v>239</v>
      </c>
    </row>
    <row r="43" spans="3:22" x14ac:dyDescent="0.3">
      <c r="I43" t="s">
        <v>284</v>
      </c>
      <c r="J43" t="s">
        <v>1294</v>
      </c>
      <c r="K43" t="s">
        <v>909</v>
      </c>
      <c r="L43" t="s">
        <v>1293</v>
      </c>
      <c r="M43" t="s">
        <v>907</v>
      </c>
      <c r="N43" t="s">
        <v>920</v>
      </c>
      <c r="O43" t="s">
        <v>274</v>
      </c>
      <c r="P43" t="s">
        <v>1292</v>
      </c>
      <c r="Q43" t="s">
        <v>1291</v>
      </c>
      <c r="S43" t="s">
        <v>1289</v>
      </c>
      <c r="T43" t="s">
        <v>1288</v>
      </c>
    </row>
    <row r="44" spans="3:22" x14ac:dyDescent="0.3">
      <c r="H44" s="55">
        <f>O44/O46</f>
        <v>0.71428571428571419</v>
      </c>
      <c r="I44" t="s">
        <v>74</v>
      </c>
      <c r="J44">
        <f>SUM(K44:M44)</f>
        <v>70</v>
      </c>
      <c r="K44">
        <f>J38-$C$25</f>
        <v>70</v>
      </c>
      <c r="L44">
        <v>0</v>
      </c>
      <c r="M44">
        <v>0</v>
      </c>
      <c r="N44">
        <f>SUMPRODUCT(K44:M44,$C$46:$E$46)/J44</f>
        <v>0.5</v>
      </c>
      <c r="O44" s="88">
        <f>$L$38*(1+$C$23)</f>
        <v>550</v>
      </c>
      <c r="P44" s="88">
        <f>$J$31</f>
        <v>400</v>
      </c>
      <c r="Q44" s="88">
        <f>O44-P44</f>
        <v>150</v>
      </c>
      <c r="S44" s="88">
        <f>SUMPRODUCT(J44:J46,N44:N46,O44:O46)</f>
        <v>135575</v>
      </c>
      <c r="T44" s="88">
        <f>SUMPRODUCT(J44:J46,O44:O46)</f>
        <v>127600</v>
      </c>
      <c r="V44" s="57">
        <f>S44/T44-1</f>
        <v>6.25E-2</v>
      </c>
    </row>
    <row r="45" spans="3:22" x14ac:dyDescent="0.3">
      <c r="C45" s="206" t="str">
        <f>C38</f>
        <v>Low Risk</v>
      </c>
      <c r="D45" s="206" t="str">
        <f>C39</f>
        <v>Average Risk</v>
      </c>
      <c r="E45" s="206" t="str">
        <f>C40</f>
        <v>High Risk</v>
      </c>
      <c r="H45" s="55">
        <f>O45/O46</f>
        <v>0.85714285714285698</v>
      </c>
      <c r="I45" t="s">
        <v>73</v>
      </c>
      <c r="J45">
        <f>SUM(K45:M45)</f>
        <v>100</v>
      </c>
      <c r="K45">
        <f>$C$25</f>
        <v>5</v>
      </c>
      <c r="L45">
        <f>J39-$C$26</f>
        <v>95</v>
      </c>
      <c r="M45">
        <v>0</v>
      </c>
      <c r="N45">
        <f>SUMPRODUCT(K45:M45,$C$46:$E$46)/J45</f>
        <v>0.97499999999999998</v>
      </c>
      <c r="O45" s="88">
        <f>$L$39*(1+$C$23)</f>
        <v>660</v>
      </c>
      <c r="P45" s="88">
        <f>$J$32</f>
        <v>400</v>
      </c>
      <c r="Q45" s="88">
        <f>O45-P45</f>
        <v>260</v>
      </c>
    </row>
    <row r="46" spans="3:22" x14ac:dyDescent="0.3">
      <c r="C46" s="206">
        <f>E38</f>
        <v>0.5</v>
      </c>
      <c r="D46" s="206">
        <f>E39</f>
        <v>1</v>
      </c>
      <c r="E46" s="206">
        <f>E40</f>
        <v>2.5</v>
      </c>
      <c r="H46" s="55">
        <f>O46/O46</f>
        <v>1</v>
      </c>
      <c r="I46" t="s">
        <v>72</v>
      </c>
      <c r="J46">
        <f>SUM(K46:M46)</f>
        <v>30</v>
      </c>
      <c r="K46">
        <v>0</v>
      </c>
      <c r="L46">
        <f>$C$26</f>
        <v>5</v>
      </c>
      <c r="M46">
        <f>J40</f>
        <v>25</v>
      </c>
      <c r="N46">
        <f>SUMPRODUCT(K46:M46,$C$46:$E$46)/J46</f>
        <v>2.25</v>
      </c>
      <c r="O46" s="88">
        <f>$L$40*(1+$C$23)</f>
        <v>770.00000000000011</v>
      </c>
      <c r="P46" s="88">
        <f>$J$33</f>
        <v>400</v>
      </c>
      <c r="Q46" s="88">
        <f>O46-P46</f>
        <v>370.00000000000011</v>
      </c>
    </row>
    <row r="47" spans="3:22" x14ac:dyDescent="0.3">
      <c r="K47">
        <f>SUM(K44:K46)</f>
        <v>75</v>
      </c>
      <c r="L47">
        <f>SUM(L44:L46)</f>
        <v>100</v>
      </c>
      <c r="M47">
        <f>SUM(M44:M46)</f>
        <v>25</v>
      </c>
      <c r="N47">
        <f>SUMPRODUCT(N44:N46,J44:J46)/SUM(J44:J46)</f>
        <v>1</v>
      </c>
    </row>
    <row r="48" spans="3:22" x14ac:dyDescent="0.3">
      <c r="I48" t="s">
        <v>238</v>
      </c>
    </row>
    <row r="49" spans="8:22" x14ac:dyDescent="0.3">
      <c r="I49" t="s">
        <v>284</v>
      </c>
      <c r="J49" t="s">
        <v>1294</v>
      </c>
      <c r="K49" t="s">
        <v>909</v>
      </c>
      <c r="L49" t="s">
        <v>1293</v>
      </c>
      <c r="M49" t="s">
        <v>907</v>
      </c>
      <c r="N49" t="s">
        <v>920</v>
      </c>
      <c r="O49" t="s">
        <v>274</v>
      </c>
      <c r="P49" t="s">
        <v>1292</v>
      </c>
      <c r="Q49" t="s">
        <v>1291</v>
      </c>
      <c r="S49" t="s">
        <v>1289</v>
      </c>
      <c r="T49" t="s">
        <v>1288</v>
      </c>
    </row>
    <row r="50" spans="8:22" x14ac:dyDescent="0.3">
      <c r="H50" s="55">
        <f>O50/O52</f>
        <v>0.71428571428571408</v>
      </c>
      <c r="I50" t="s">
        <v>74</v>
      </c>
      <c r="J50">
        <f>SUM(K50:M50)</f>
        <v>65</v>
      </c>
      <c r="K50">
        <f>K44-$C$25</f>
        <v>65</v>
      </c>
      <c r="L50">
        <v>0</v>
      </c>
      <c r="M50">
        <v>0</v>
      </c>
      <c r="N50">
        <f>SUMPRODUCT(K50:M50,$C$46:$E$46)/J50</f>
        <v>0.5</v>
      </c>
      <c r="O50" s="88">
        <f>O44*(1+$C$23)</f>
        <v>605</v>
      </c>
      <c r="P50" s="88">
        <f>$J$31</f>
        <v>400</v>
      </c>
      <c r="Q50" s="88">
        <f>O50-P50</f>
        <v>205</v>
      </c>
      <c r="S50" s="88">
        <f>SUMPRODUCT(J50:J52,N50:N52,O50:O52)</f>
        <v>150040.00000000003</v>
      </c>
      <c r="T50" s="88">
        <f>SUMPRODUCT(J50:J52,O50:O52)</f>
        <v>141570.00000000003</v>
      </c>
      <c r="V50" s="57">
        <f>S50/T50-1</f>
        <v>5.9829059829059839E-2</v>
      </c>
    </row>
    <row r="51" spans="8:22" x14ac:dyDescent="0.3">
      <c r="H51" s="55">
        <f>O51/O52</f>
        <v>0.8571428571428571</v>
      </c>
      <c r="I51" t="s">
        <v>73</v>
      </c>
      <c r="J51">
        <f>SUM(K51:M51)</f>
        <v>100</v>
      </c>
      <c r="K51">
        <f>$C$25+K45</f>
        <v>10</v>
      </c>
      <c r="L51">
        <f>L45-$C$26</f>
        <v>90</v>
      </c>
      <c r="M51">
        <v>0</v>
      </c>
      <c r="N51">
        <f>SUMPRODUCT(K51:M51,$C$46:$E$46)/J51</f>
        <v>0.95</v>
      </c>
      <c r="O51" s="88">
        <f>O45*(1+$C$23)</f>
        <v>726.00000000000011</v>
      </c>
      <c r="P51" s="88">
        <f>$J$32</f>
        <v>400</v>
      </c>
      <c r="Q51" s="88">
        <f>O51-P51</f>
        <v>326.00000000000011</v>
      </c>
    </row>
    <row r="52" spans="8:22" x14ac:dyDescent="0.3">
      <c r="H52" s="55">
        <f>O52/O52</f>
        <v>1</v>
      </c>
      <c r="I52" t="s">
        <v>72</v>
      </c>
      <c r="J52">
        <f>SUM(K52:M52)</f>
        <v>35</v>
      </c>
      <c r="K52">
        <v>0</v>
      </c>
      <c r="L52">
        <f>$C$26+L46</f>
        <v>10</v>
      </c>
      <c r="M52">
        <f>M46</f>
        <v>25</v>
      </c>
      <c r="N52">
        <f>SUMPRODUCT(K52:M52,$C$46:$E$46)/J52</f>
        <v>2.0714285714285716</v>
      </c>
      <c r="O52" s="88">
        <f>O46*(1+$C$23)</f>
        <v>847.00000000000023</v>
      </c>
      <c r="P52" s="88">
        <f>$J$33</f>
        <v>400</v>
      </c>
      <c r="Q52" s="88">
        <f>O52-P52</f>
        <v>447.00000000000023</v>
      </c>
    </row>
    <row r="53" spans="8:22" x14ac:dyDescent="0.3">
      <c r="K53">
        <f>SUM(K50:K52)</f>
        <v>75</v>
      </c>
      <c r="L53">
        <f>SUM(L50:L52)</f>
        <v>100</v>
      </c>
      <c r="M53">
        <f>SUM(M50:M52)</f>
        <v>25</v>
      </c>
      <c r="N53">
        <f>SUMPRODUCT(N50:N52,J50:J52)/SUM(J50:J52)</f>
        <v>1</v>
      </c>
    </row>
    <row r="54" spans="8:22" x14ac:dyDescent="0.3">
      <c r="I54" t="s">
        <v>237</v>
      </c>
    </row>
    <row r="55" spans="8:22" x14ac:dyDescent="0.3">
      <c r="I55" t="s">
        <v>284</v>
      </c>
      <c r="J55" t="s">
        <v>1294</v>
      </c>
      <c r="K55" t="s">
        <v>909</v>
      </c>
      <c r="L55" t="s">
        <v>1293</v>
      </c>
      <c r="M55" t="s">
        <v>907</v>
      </c>
      <c r="N55" t="s">
        <v>920</v>
      </c>
      <c r="O55" t="s">
        <v>274</v>
      </c>
      <c r="P55" t="s">
        <v>1292</v>
      </c>
      <c r="Q55" t="s">
        <v>1291</v>
      </c>
      <c r="S55" t="s">
        <v>1289</v>
      </c>
      <c r="T55" t="s">
        <v>1288</v>
      </c>
    </row>
    <row r="56" spans="8:22" x14ac:dyDescent="0.3">
      <c r="H56" s="55">
        <f>O56/O58</f>
        <v>0.71428571428571408</v>
      </c>
      <c r="I56" t="s">
        <v>74</v>
      </c>
      <c r="J56">
        <f>SUM(K56:M56)</f>
        <v>60</v>
      </c>
      <c r="K56">
        <f>K50-$C$25</f>
        <v>60</v>
      </c>
      <c r="L56">
        <v>0</v>
      </c>
      <c r="M56">
        <v>0</v>
      </c>
      <c r="N56">
        <f>SUMPRODUCT(K56:M56,$C$46:$E$46)/J56</f>
        <v>0.5</v>
      </c>
      <c r="O56" s="88">
        <f>O50*(1+$C$23)</f>
        <v>665.5</v>
      </c>
      <c r="P56" s="88">
        <f>$J$31</f>
        <v>400</v>
      </c>
      <c r="Q56" s="88">
        <f>O56-P56</f>
        <v>265.5</v>
      </c>
      <c r="S56" s="88">
        <f>SUMPRODUCT(J56:J58,N56:N58,O56:O58)</f>
        <v>166042.25000000003</v>
      </c>
      <c r="T56" s="88">
        <f>SUMPRODUCT(J56:J58,O56:O58)</f>
        <v>157058.00000000003</v>
      </c>
      <c r="V56" s="57">
        <f>S56/T56-1</f>
        <v>5.7203389830508433E-2</v>
      </c>
    </row>
    <row r="57" spans="8:22" x14ac:dyDescent="0.3">
      <c r="H57" s="55">
        <f>O57/O58</f>
        <v>0.85714285714285698</v>
      </c>
      <c r="I57" t="s">
        <v>73</v>
      </c>
      <c r="J57">
        <f>SUM(K57:M57)</f>
        <v>100</v>
      </c>
      <c r="K57">
        <f>$C$25+K51</f>
        <v>15</v>
      </c>
      <c r="L57">
        <f>L51-$C$26</f>
        <v>85</v>
      </c>
      <c r="M57">
        <v>0</v>
      </c>
      <c r="N57">
        <f>SUMPRODUCT(K57:M57,$C$46:$E$46)/J57</f>
        <v>0.92500000000000004</v>
      </c>
      <c r="O57" s="88">
        <f>O51*(1+$C$23)</f>
        <v>798.60000000000014</v>
      </c>
      <c r="P57" s="88">
        <f>$J$32</f>
        <v>400</v>
      </c>
      <c r="Q57" s="88">
        <f>O57-P57</f>
        <v>398.60000000000014</v>
      </c>
    </row>
    <row r="58" spans="8:22" x14ac:dyDescent="0.3">
      <c r="H58" s="55">
        <f>O58/O58</f>
        <v>1</v>
      </c>
      <c r="I58" t="s">
        <v>72</v>
      </c>
      <c r="J58">
        <f>SUM(K58:M58)</f>
        <v>40</v>
      </c>
      <c r="K58">
        <v>0</v>
      </c>
      <c r="L58">
        <f>$C$26+L52</f>
        <v>15</v>
      </c>
      <c r="M58">
        <f>M52</f>
        <v>25</v>
      </c>
      <c r="N58">
        <f>SUMPRODUCT(K58:M58,$C$46:$E$46)/J58</f>
        <v>1.9375</v>
      </c>
      <c r="O58" s="88">
        <f>O52*(1+$C$23)</f>
        <v>931.70000000000027</v>
      </c>
      <c r="P58" s="88">
        <f>$J$33</f>
        <v>400</v>
      </c>
      <c r="Q58" s="88">
        <f>O58-P58</f>
        <v>531.70000000000027</v>
      </c>
    </row>
    <row r="59" spans="8:22" x14ac:dyDescent="0.3">
      <c r="K59">
        <f>SUM(K56:K58)</f>
        <v>75</v>
      </c>
      <c r="L59">
        <f>SUM(L56:L58)</f>
        <v>100</v>
      </c>
      <c r="M59">
        <f>SUM(M56:M58)</f>
        <v>25</v>
      </c>
      <c r="N59">
        <f>SUMPRODUCT(N56:N58,J56:J58)/SUM(J56:J58)</f>
        <v>1</v>
      </c>
    </row>
    <row r="60" spans="8:22" x14ac:dyDescent="0.3">
      <c r="I60" t="s">
        <v>1295</v>
      </c>
    </row>
    <row r="61" spans="8:22" x14ac:dyDescent="0.3">
      <c r="I61" t="s">
        <v>284</v>
      </c>
      <c r="J61" t="s">
        <v>1294</v>
      </c>
      <c r="K61" t="s">
        <v>909</v>
      </c>
      <c r="L61" t="s">
        <v>1293</v>
      </c>
      <c r="M61" t="s">
        <v>907</v>
      </c>
      <c r="N61" t="s">
        <v>920</v>
      </c>
      <c r="O61" t="s">
        <v>274</v>
      </c>
      <c r="P61" t="s">
        <v>1292</v>
      </c>
      <c r="Q61" t="s">
        <v>1291</v>
      </c>
      <c r="S61" t="s">
        <v>1289</v>
      </c>
      <c r="T61" t="s">
        <v>1288</v>
      </c>
    </row>
    <row r="62" spans="8:22" x14ac:dyDescent="0.3">
      <c r="H62" s="55">
        <f>O62/O64</f>
        <v>0.71428571428571408</v>
      </c>
      <c r="I62" t="s">
        <v>74</v>
      </c>
      <c r="J62">
        <f>SUM(K62:M62)</f>
        <v>55</v>
      </c>
      <c r="K62">
        <f>K56-$C$25</f>
        <v>55</v>
      </c>
      <c r="L62">
        <v>0</v>
      </c>
      <c r="M62">
        <v>0</v>
      </c>
      <c r="N62">
        <f>SUMPRODUCT(K62:M62,$C$46:$E$46)/J62</f>
        <v>0.5</v>
      </c>
      <c r="O62" s="88">
        <f>O56*(1+$C$23)</f>
        <v>732.05000000000007</v>
      </c>
      <c r="P62" s="88">
        <f>$J$31</f>
        <v>400</v>
      </c>
      <c r="Q62" s="88">
        <f>O62-P62</f>
        <v>332.05000000000007</v>
      </c>
      <c r="S62" s="88">
        <f>SUMPRODUCT(J62:J64,N62:N64,O62:O64)</f>
        <v>183744.55000000005</v>
      </c>
      <c r="T62" s="88">
        <f>SUMPRODUCT(J62:J64,O62:O64)</f>
        <v>174227.90000000005</v>
      </c>
      <c r="V62" s="57">
        <f>S62/T62-1</f>
        <v>5.4621848739495826E-2</v>
      </c>
    </row>
    <row r="63" spans="8:22" x14ac:dyDescent="0.3">
      <c r="H63" s="55">
        <f>O63/O64</f>
        <v>0.8571428571428571</v>
      </c>
      <c r="I63" t="s">
        <v>73</v>
      </c>
      <c r="J63">
        <f>SUM(K63:M63)</f>
        <v>100</v>
      </c>
      <c r="K63">
        <f>$C$25+K57</f>
        <v>20</v>
      </c>
      <c r="L63">
        <f>L57-$C$26</f>
        <v>80</v>
      </c>
      <c r="M63">
        <v>0</v>
      </c>
      <c r="N63">
        <f>SUMPRODUCT(K63:M63,$C$46:$E$46)/J63</f>
        <v>0.9</v>
      </c>
      <c r="O63" s="88">
        <f>O57*(1+$C$23)</f>
        <v>878.46000000000026</v>
      </c>
      <c r="P63" s="88">
        <f>$J$32</f>
        <v>400</v>
      </c>
      <c r="Q63" s="88">
        <f>O63-P63</f>
        <v>478.46000000000026</v>
      </c>
    </row>
    <row r="64" spans="8:22" x14ac:dyDescent="0.3">
      <c r="H64" s="55">
        <f>O64/O64</f>
        <v>1</v>
      </c>
      <c r="I64" t="s">
        <v>72</v>
      </c>
      <c r="J64">
        <f>SUM(K64:M64)</f>
        <v>45</v>
      </c>
      <c r="K64">
        <v>0</v>
      </c>
      <c r="L64">
        <f>$C$26+L58</f>
        <v>20</v>
      </c>
      <c r="M64">
        <f>M58</f>
        <v>25</v>
      </c>
      <c r="N64">
        <f>SUMPRODUCT(K64:M64,$C$46:$E$46)/J64</f>
        <v>1.8333333333333333</v>
      </c>
      <c r="O64" s="88">
        <f>O58*(1+$C$23)</f>
        <v>1024.8700000000003</v>
      </c>
      <c r="P64" s="88">
        <f>$J$33</f>
        <v>400</v>
      </c>
      <c r="Q64" s="88">
        <f>O64-P64</f>
        <v>624.87000000000035</v>
      </c>
      <c r="S64" t="s">
        <v>1290</v>
      </c>
    </row>
    <row r="65" spans="11:20" x14ac:dyDescent="0.3">
      <c r="K65">
        <f>SUM(K62:K64)</f>
        <v>75</v>
      </c>
      <c r="L65">
        <f>SUM(L62:L64)</f>
        <v>100</v>
      </c>
      <c r="M65">
        <f>SUM(M62:M64)</f>
        <v>25</v>
      </c>
      <c r="N65">
        <f>SUMPRODUCT(N62:N64,J62:J64)/SUM(J62:J64)</f>
        <v>1</v>
      </c>
      <c r="S65" t="s">
        <v>1289</v>
      </c>
      <c r="T65" t="s">
        <v>1288</v>
      </c>
    </row>
    <row r="66" spans="11:20" x14ac:dyDescent="0.3">
      <c r="Q66" t="s">
        <v>155</v>
      </c>
      <c r="S66" s="284">
        <f>SUM(S62,S56,S50,S44)</f>
        <v>635401.80000000005</v>
      </c>
      <c r="T66" s="284">
        <f>SUM(T62,T56,T50,T44)</f>
        <v>600455.90000000014</v>
      </c>
    </row>
    <row r="68" spans="11:20" x14ac:dyDescent="0.3">
      <c r="T68" t="s">
        <v>1287</v>
      </c>
    </row>
    <row r="69" spans="11:20" x14ac:dyDescent="0.3">
      <c r="T69" s="12">
        <f>S66/T66-1</f>
        <v>5.8198945168162819E-2</v>
      </c>
    </row>
  </sheetData>
  <mergeCells count="3">
    <mergeCell ref="C8:D8"/>
    <mergeCell ref="C28:F28"/>
    <mergeCell ref="H28:R28"/>
  </mergeCell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8B89D-4AC7-4962-B449-AD2E4CB82125}">
  <sheetPr>
    <tabColor theme="5" tint="0.39997558519241921"/>
  </sheetPr>
  <dimension ref="A1:M59"/>
  <sheetViews>
    <sheetView workbookViewId="0">
      <selection activeCell="Q46" sqref="Q46"/>
    </sheetView>
  </sheetViews>
  <sheetFormatPr defaultRowHeight="14.4" x14ac:dyDescent="0.3"/>
  <cols>
    <col min="3" max="3" width="20.5546875" customWidth="1"/>
    <col min="4" max="4" width="13" customWidth="1"/>
    <col min="5" max="5" width="14.5546875" bestFit="1" customWidth="1"/>
    <col min="6" max="6" width="12.6640625" customWidth="1"/>
    <col min="7" max="7" width="15.33203125" customWidth="1"/>
    <col min="8" max="8" width="9.6640625" bestFit="1" customWidth="1"/>
  </cols>
  <sheetData>
    <row r="1" spans="1:7" ht="15" thickBot="1" x14ac:dyDescent="0.35">
      <c r="A1" t="s">
        <v>974</v>
      </c>
    </row>
    <row r="2" spans="1:7" ht="15" thickBot="1" x14ac:dyDescent="0.35">
      <c r="F2" s="11" t="s">
        <v>13</v>
      </c>
      <c r="G2" s="10"/>
    </row>
    <row r="3" spans="1:7" x14ac:dyDescent="0.3">
      <c r="F3" s="9" t="s">
        <v>12</v>
      </c>
      <c r="G3" s="9"/>
    </row>
    <row r="4" spans="1:7" ht="15" thickBot="1" x14ac:dyDescent="0.35">
      <c r="F4" s="8" t="s">
        <v>11</v>
      </c>
      <c r="G4" s="8"/>
    </row>
    <row r="5" spans="1:7" ht="15.6" thickTop="1" thickBot="1" x14ac:dyDescent="0.35">
      <c r="F5" s="7" t="s">
        <v>10</v>
      </c>
      <c r="G5" s="7"/>
    </row>
    <row r="6" spans="1:7" ht="15" thickTop="1" x14ac:dyDescent="0.3">
      <c r="F6" s="5" t="s">
        <v>9</v>
      </c>
      <c r="G6" s="5"/>
    </row>
    <row r="7" spans="1:7" ht="15" thickBot="1" x14ac:dyDescent="0.35"/>
    <row r="8" spans="1:7" ht="15" thickBot="1" x14ac:dyDescent="0.35">
      <c r="C8" s="375" t="s">
        <v>8</v>
      </c>
      <c r="D8" s="377"/>
    </row>
    <row r="9" spans="1:7" s="83" customFormat="1" x14ac:dyDescent="0.3"/>
    <row r="10" spans="1:7" s="83" customFormat="1" x14ac:dyDescent="0.3">
      <c r="C10" s="257">
        <v>50</v>
      </c>
      <c r="D10" s="83" t="s">
        <v>973</v>
      </c>
    </row>
    <row r="11" spans="1:7" s="83" customFormat="1" x14ac:dyDescent="0.3">
      <c r="C11" s="257">
        <v>3</v>
      </c>
      <c r="D11" s="83" t="s">
        <v>972</v>
      </c>
    </row>
    <row r="12" spans="1:7" s="83" customFormat="1" x14ac:dyDescent="0.3">
      <c r="C12" s="257">
        <v>400</v>
      </c>
      <c r="D12" s="83" t="s">
        <v>971</v>
      </c>
    </row>
    <row r="13" spans="1:7" s="83" customFormat="1" x14ac:dyDescent="0.3">
      <c r="C13" s="252">
        <v>1.2</v>
      </c>
      <c r="D13" s="83" t="s">
        <v>970</v>
      </c>
    </row>
    <row r="14" spans="1:7" s="83" customFormat="1" x14ac:dyDescent="0.3">
      <c r="C14" s="84"/>
    </row>
    <row r="15" spans="1:7" s="83" customFormat="1" x14ac:dyDescent="0.3">
      <c r="C15" s="84"/>
    </row>
    <row r="16" spans="1:7" s="83" customFormat="1" x14ac:dyDescent="0.3">
      <c r="C16" s="206" t="s">
        <v>969</v>
      </c>
      <c r="D16" s="206" t="s">
        <v>604</v>
      </c>
      <c r="F16" s="206" t="s">
        <v>968</v>
      </c>
      <c r="G16" s="206" t="s">
        <v>604</v>
      </c>
    </row>
    <row r="17" spans="1:13" s="83" customFormat="1" x14ac:dyDescent="0.3">
      <c r="C17" s="206" t="s">
        <v>967</v>
      </c>
      <c r="D17" s="206">
        <v>1.1000000000000001</v>
      </c>
      <c r="F17" s="206" t="s">
        <v>966</v>
      </c>
      <c r="G17" s="206">
        <v>1</v>
      </c>
    </row>
    <row r="18" spans="1:13" s="83" customFormat="1" x14ac:dyDescent="0.3">
      <c r="C18" s="206" t="s">
        <v>945</v>
      </c>
      <c r="D18" s="206">
        <v>1</v>
      </c>
      <c r="F18" s="206" t="s">
        <v>965</v>
      </c>
      <c r="G18" s="206">
        <v>0.9</v>
      </c>
    </row>
    <row r="19" spans="1:13" s="83" customFormat="1" x14ac:dyDescent="0.3">
      <c r="C19" s="206" t="s">
        <v>964</v>
      </c>
      <c r="D19" s="206">
        <v>0.95</v>
      </c>
      <c r="F19" s="206" t="s">
        <v>963</v>
      </c>
      <c r="G19" s="206">
        <v>1.1000000000000001</v>
      </c>
    </row>
    <row r="20" spans="1:13" s="83" customFormat="1" x14ac:dyDescent="0.3">
      <c r="C20" s="206" t="s">
        <v>944</v>
      </c>
      <c r="D20" s="206">
        <v>1.1499999999999999</v>
      </c>
      <c r="F20" s="206" t="s">
        <v>962</v>
      </c>
      <c r="G20" s="206">
        <v>1.75</v>
      </c>
    </row>
    <row r="21" spans="1:13" s="83" customFormat="1" x14ac:dyDescent="0.3">
      <c r="C21" s="81"/>
      <c r="D21" s="81"/>
      <c r="F21" s="81"/>
      <c r="G21" s="81"/>
    </row>
    <row r="22" spans="1:13" s="83" customFormat="1" x14ac:dyDescent="0.3">
      <c r="C22" s="206" t="s">
        <v>961</v>
      </c>
      <c r="D22" s="206" t="s">
        <v>604</v>
      </c>
      <c r="F22" s="81"/>
      <c r="G22" s="81"/>
    </row>
    <row r="23" spans="1:13" s="83" customFormat="1" x14ac:dyDescent="0.3">
      <c r="C23" s="206" t="s">
        <v>960</v>
      </c>
      <c r="D23" s="206">
        <v>1</v>
      </c>
      <c r="F23" s="81"/>
      <c r="G23" s="81"/>
    </row>
    <row r="24" spans="1:13" s="83" customFormat="1" x14ac:dyDescent="0.3">
      <c r="C24" s="206" t="s">
        <v>959</v>
      </c>
      <c r="D24" s="206">
        <v>1.5</v>
      </c>
      <c r="F24" s="81"/>
      <c r="G24" s="81"/>
    </row>
    <row r="25" spans="1:13" s="83" customFormat="1" x14ac:dyDescent="0.3">
      <c r="C25" s="81"/>
      <c r="D25" s="81"/>
      <c r="F25" s="81"/>
      <c r="G25" s="81"/>
    </row>
    <row r="26" spans="1:13" s="83" customFormat="1" x14ac:dyDescent="0.3"/>
    <row r="27" spans="1:13" s="83" customFormat="1" ht="15" thickBot="1" x14ac:dyDescent="0.35"/>
    <row r="28" spans="1:13" ht="15" thickBot="1" x14ac:dyDescent="0.35">
      <c r="C28" s="375" t="s">
        <v>4</v>
      </c>
      <c r="D28" s="376"/>
      <c r="E28" s="376"/>
      <c r="F28" s="376"/>
      <c r="G28" s="377"/>
      <c r="I28" s="375" t="s">
        <v>3</v>
      </c>
      <c r="J28" s="376"/>
      <c r="K28" s="376"/>
      <c r="L28" s="376"/>
      <c r="M28" s="377"/>
    </row>
    <row r="29" spans="1:13" x14ac:dyDescent="0.3">
      <c r="A29" t="s">
        <v>168</v>
      </c>
      <c r="C29" s="112"/>
      <c r="D29" s="112"/>
      <c r="E29" s="112"/>
      <c r="F29" s="112"/>
      <c r="G29" s="112"/>
      <c r="H29" s="112"/>
    </row>
    <row r="30" spans="1:13" x14ac:dyDescent="0.3">
      <c r="D30" s="386" t="s">
        <v>949</v>
      </c>
      <c r="E30" s="386"/>
      <c r="F30" s="386" t="s">
        <v>948</v>
      </c>
      <c r="G30" s="386"/>
    </row>
    <row r="31" spans="1:13" x14ac:dyDescent="0.3">
      <c r="D31" s="59" t="s">
        <v>957</v>
      </c>
      <c r="E31" s="59" t="s">
        <v>958</v>
      </c>
      <c r="F31" s="59" t="s">
        <v>957</v>
      </c>
      <c r="G31" s="59" t="s">
        <v>956</v>
      </c>
    </row>
    <row r="32" spans="1:13" x14ac:dyDescent="0.3">
      <c r="C32" s="59" t="s">
        <v>919</v>
      </c>
      <c r="D32" s="59">
        <v>650</v>
      </c>
      <c r="E32" s="256">
        <v>50</v>
      </c>
      <c r="F32" s="59">
        <v>250</v>
      </c>
      <c r="G32" s="256">
        <v>125</v>
      </c>
    </row>
    <row r="33" spans="1:13" x14ac:dyDescent="0.3">
      <c r="C33" s="59" t="s">
        <v>955</v>
      </c>
      <c r="D33" s="59">
        <v>300</v>
      </c>
      <c r="E33" s="256">
        <v>250</v>
      </c>
      <c r="F33" s="59">
        <v>625</v>
      </c>
      <c r="G33" s="256">
        <v>450</v>
      </c>
    </row>
    <row r="34" spans="1:13" x14ac:dyDescent="0.3">
      <c r="C34" s="59" t="s">
        <v>917</v>
      </c>
      <c r="D34" s="59">
        <v>50</v>
      </c>
      <c r="E34" s="256">
        <v>2250</v>
      </c>
      <c r="F34" s="59">
        <v>125</v>
      </c>
      <c r="G34" s="256">
        <v>3500</v>
      </c>
    </row>
    <row r="35" spans="1:13" x14ac:dyDescent="0.3">
      <c r="C35" s="84"/>
    </row>
    <row r="36" spans="1:13" s="26" customFormat="1" x14ac:dyDescent="0.3">
      <c r="A36" s="26" t="s">
        <v>155</v>
      </c>
    </row>
    <row r="37" spans="1:13" ht="15" thickBot="1" x14ac:dyDescent="0.35"/>
    <row r="38" spans="1:13" ht="15" thickBot="1" x14ac:dyDescent="0.35">
      <c r="C38" s="375" t="s">
        <v>4</v>
      </c>
      <c r="D38" s="376"/>
      <c r="E38" s="376"/>
      <c r="F38" s="376"/>
      <c r="G38" s="377"/>
      <c r="I38" s="375" t="s">
        <v>3</v>
      </c>
      <c r="J38" s="376"/>
      <c r="K38" s="376"/>
      <c r="L38" s="376"/>
      <c r="M38" s="377"/>
    </row>
    <row r="40" spans="1:13" x14ac:dyDescent="0.3">
      <c r="C40" s="386" t="s">
        <v>954</v>
      </c>
      <c r="D40" s="386"/>
      <c r="E40" s="386"/>
    </row>
    <row r="41" spans="1:13" x14ac:dyDescent="0.3">
      <c r="C41" s="254"/>
      <c r="D41" s="59" t="s">
        <v>949</v>
      </c>
      <c r="E41" s="59" t="s">
        <v>948</v>
      </c>
    </row>
    <row r="42" spans="1:13" x14ac:dyDescent="0.3">
      <c r="C42" s="254" t="s">
        <v>953</v>
      </c>
      <c r="D42" s="256">
        <v>90</v>
      </c>
      <c r="E42" s="256">
        <v>182</v>
      </c>
    </row>
    <row r="43" spans="1:13" x14ac:dyDescent="0.3">
      <c r="C43" s="254" t="s">
        <v>952</v>
      </c>
      <c r="D43" s="256">
        <v>18</v>
      </c>
      <c r="E43" s="256">
        <v>75</v>
      </c>
    </row>
    <row r="44" spans="1:13" x14ac:dyDescent="0.3">
      <c r="C44" s="254" t="s">
        <v>951</v>
      </c>
      <c r="D44" s="256">
        <v>150</v>
      </c>
      <c r="E44" s="256">
        <v>520</v>
      </c>
    </row>
    <row r="45" spans="1:13" x14ac:dyDescent="0.3">
      <c r="C45" s="254" t="s">
        <v>950</v>
      </c>
      <c r="D45" s="256">
        <v>24</v>
      </c>
      <c r="E45" s="256">
        <v>89</v>
      </c>
    </row>
    <row r="48" spans="1:13" x14ac:dyDescent="0.3">
      <c r="C48" s="255"/>
      <c r="D48" s="59" t="s">
        <v>949</v>
      </c>
      <c r="E48" s="59" t="s">
        <v>948</v>
      </c>
    </row>
    <row r="49" spans="1:5" x14ac:dyDescent="0.3">
      <c r="C49" s="254" t="s">
        <v>947</v>
      </c>
      <c r="D49" s="59">
        <v>24.8</v>
      </c>
      <c r="E49" s="59">
        <v>37.299999999999997</v>
      </c>
    </row>
    <row r="50" spans="1:5" x14ac:dyDescent="0.3">
      <c r="C50" s="254" t="s">
        <v>946</v>
      </c>
      <c r="D50" s="59" t="s">
        <v>945</v>
      </c>
      <c r="E50" s="59" t="s">
        <v>944</v>
      </c>
    </row>
    <row r="51" spans="1:5" x14ac:dyDescent="0.3">
      <c r="C51" s="254" t="s">
        <v>943</v>
      </c>
      <c r="D51" s="253">
        <v>0</v>
      </c>
      <c r="E51" s="253">
        <v>0.55000000000000004</v>
      </c>
    </row>
    <row r="59" spans="1:5" s="26" customFormat="1" x14ac:dyDescent="0.3">
      <c r="A59" s="26" t="s">
        <v>203</v>
      </c>
    </row>
  </sheetData>
  <mergeCells count="8">
    <mergeCell ref="C40:E40"/>
    <mergeCell ref="C8:D8"/>
    <mergeCell ref="C28:G28"/>
    <mergeCell ref="I28:M28"/>
    <mergeCell ref="D30:E30"/>
    <mergeCell ref="F30:G30"/>
    <mergeCell ref="C38:G38"/>
    <mergeCell ref="I38:M38"/>
  </mergeCell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7B790-4259-4563-AFAA-2109ECCC5B77}">
  <sheetPr>
    <tabColor theme="9" tint="0.59999389629810485"/>
  </sheetPr>
  <dimension ref="A1:X66"/>
  <sheetViews>
    <sheetView topLeftCell="A39" workbookViewId="0">
      <selection activeCell="I63" sqref="I63"/>
    </sheetView>
  </sheetViews>
  <sheetFormatPr defaultRowHeight="14.4" x14ac:dyDescent="0.3"/>
  <cols>
    <col min="3" max="3" width="20.5546875" customWidth="1"/>
    <col min="4" max="4" width="13" customWidth="1"/>
    <col min="5" max="5" width="14.5546875" bestFit="1" customWidth="1"/>
    <col min="6" max="6" width="12.6640625" customWidth="1"/>
    <col min="7" max="7" width="15.33203125" customWidth="1"/>
    <col min="8" max="8" width="9.6640625" bestFit="1" customWidth="1"/>
  </cols>
  <sheetData>
    <row r="1" spans="1:7" ht="15" thickBot="1" x14ac:dyDescent="0.35">
      <c r="A1" t="s">
        <v>974</v>
      </c>
    </row>
    <row r="2" spans="1:7" ht="15" thickBot="1" x14ac:dyDescent="0.35">
      <c r="F2" s="11" t="s">
        <v>13</v>
      </c>
      <c r="G2" s="10"/>
    </row>
    <row r="3" spans="1:7" x14ac:dyDescent="0.3">
      <c r="F3" s="9" t="s">
        <v>12</v>
      </c>
      <c r="G3" s="9"/>
    </row>
    <row r="4" spans="1:7" ht="15" thickBot="1" x14ac:dyDescent="0.35">
      <c r="F4" s="8" t="s">
        <v>11</v>
      </c>
      <c r="G4" s="8"/>
    </row>
    <row r="5" spans="1:7" ht="15.6" thickTop="1" thickBot="1" x14ac:dyDescent="0.35">
      <c r="F5" s="7" t="s">
        <v>10</v>
      </c>
      <c r="G5" s="7"/>
    </row>
    <row r="6" spans="1:7" ht="15" thickTop="1" x14ac:dyDescent="0.3">
      <c r="F6" s="5" t="s">
        <v>9</v>
      </c>
      <c r="G6" s="5"/>
    </row>
    <row r="7" spans="1:7" ht="15" thickBot="1" x14ac:dyDescent="0.35"/>
    <row r="8" spans="1:7" ht="15" thickBot="1" x14ac:dyDescent="0.35">
      <c r="C8" s="375" t="s">
        <v>8</v>
      </c>
      <c r="D8" s="377"/>
    </row>
    <row r="9" spans="1:7" s="83" customFormat="1" x14ac:dyDescent="0.3"/>
    <row r="10" spans="1:7" s="83" customFormat="1" x14ac:dyDescent="0.3">
      <c r="C10" s="257">
        <v>50</v>
      </c>
      <c r="D10" s="83" t="s">
        <v>973</v>
      </c>
    </row>
    <row r="11" spans="1:7" s="83" customFormat="1" x14ac:dyDescent="0.3">
      <c r="C11" s="257">
        <v>3</v>
      </c>
      <c r="D11" s="83" t="s">
        <v>972</v>
      </c>
    </row>
    <row r="12" spans="1:7" s="83" customFormat="1" x14ac:dyDescent="0.3">
      <c r="C12" s="257">
        <v>400</v>
      </c>
      <c r="D12" s="83" t="s">
        <v>971</v>
      </c>
    </row>
    <row r="13" spans="1:7" s="83" customFormat="1" x14ac:dyDescent="0.3">
      <c r="C13" s="252">
        <v>1.2</v>
      </c>
      <c r="D13" s="83" t="s">
        <v>970</v>
      </c>
    </row>
    <row r="14" spans="1:7" s="83" customFormat="1" x14ac:dyDescent="0.3">
      <c r="C14" s="84"/>
    </row>
    <row r="15" spans="1:7" s="83" customFormat="1" x14ac:dyDescent="0.3">
      <c r="C15" s="84"/>
    </row>
    <row r="16" spans="1:7" s="83" customFormat="1" x14ac:dyDescent="0.3">
      <c r="C16" s="206" t="s">
        <v>969</v>
      </c>
      <c r="D16" s="206" t="s">
        <v>604</v>
      </c>
      <c r="F16" s="206" t="s">
        <v>968</v>
      </c>
      <c r="G16" s="206" t="s">
        <v>604</v>
      </c>
    </row>
    <row r="17" spans="1:19" s="83" customFormat="1" x14ac:dyDescent="0.3">
      <c r="C17" s="206" t="s">
        <v>967</v>
      </c>
      <c r="D17" s="206">
        <v>1.1000000000000001</v>
      </c>
      <c r="F17" s="206" t="s">
        <v>966</v>
      </c>
      <c r="G17" s="206">
        <v>1</v>
      </c>
    </row>
    <row r="18" spans="1:19" s="83" customFormat="1" x14ac:dyDescent="0.3">
      <c r="C18" s="206" t="s">
        <v>945</v>
      </c>
      <c r="D18" s="206">
        <v>1</v>
      </c>
      <c r="F18" s="206" t="s">
        <v>965</v>
      </c>
      <c r="G18" s="206">
        <v>0.9</v>
      </c>
    </row>
    <row r="19" spans="1:19" s="83" customFormat="1" x14ac:dyDescent="0.3">
      <c r="C19" s="206" t="s">
        <v>964</v>
      </c>
      <c r="D19" s="206">
        <v>0.95</v>
      </c>
      <c r="F19" s="206" t="s">
        <v>963</v>
      </c>
      <c r="G19" s="206">
        <v>1.1000000000000001</v>
      </c>
    </row>
    <row r="20" spans="1:19" s="83" customFormat="1" x14ac:dyDescent="0.3">
      <c r="C20" s="206" t="s">
        <v>944</v>
      </c>
      <c r="D20" s="206">
        <v>1.1499999999999999</v>
      </c>
      <c r="F20" s="206" t="s">
        <v>962</v>
      </c>
      <c r="G20" s="206">
        <v>1.75</v>
      </c>
    </row>
    <row r="21" spans="1:19" s="83" customFormat="1" x14ac:dyDescent="0.3">
      <c r="C21" s="81"/>
      <c r="D21" s="81"/>
      <c r="F21" s="81"/>
      <c r="G21" s="81"/>
    </row>
    <row r="22" spans="1:19" s="83" customFormat="1" x14ac:dyDescent="0.3">
      <c r="C22" s="206" t="s">
        <v>961</v>
      </c>
      <c r="D22" s="206" t="s">
        <v>604</v>
      </c>
      <c r="F22" s="81"/>
      <c r="G22" s="81"/>
    </row>
    <row r="23" spans="1:19" s="83" customFormat="1" x14ac:dyDescent="0.3">
      <c r="C23" s="206" t="s">
        <v>960</v>
      </c>
      <c r="D23" s="206">
        <v>1</v>
      </c>
      <c r="F23" s="81"/>
      <c r="G23" s="81"/>
    </row>
    <row r="24" spans="1:19" s="83" customFormat="1" x14ac:dyDescent="0.3">
      <c r="C24" s="206" t="s">
        <v>959</v>
      </c>
      <c r="D24" s="206">
        <v>1.5</v>
      </c>
      <c r="F24" s="81"/>
      <c r="G24" s="81"/>
    </row>
    <row r="25" spans="1:19" s="83" customFormat="1" x14ac:dyDescent="0.3">
      <c r="C25" s="81"/>
      <c r="D25" s="81"/>
      <c r="F25" s="81"/>
      <c r="G25" s="81"/>
    </row>
    <row r="26" spans="1:19" s="83" customFormat="1" x14ac:dyDescent="0.3"/>
    <row r="27" spans="1:19" s="83" customFormat="1" ht="15" thickBot="1" x14ac:dyDescent="0.35"/>
    <row r="28" spans="1:19" ht="15" thickBot="1" x14ac:dyDescent="0.35">
      <c r="C28" s="375" t="s">
        <v>4</v>
      </c>
      <c r="D28" s="376"/>
      <c r="E28" s="376"/>
      <c r="F28" s="376"/>
      <c r="G28" s="377"/>
      <c r="I28" s="375" t="s">
        <v>3</v>
      </c>
      <c r="J28" s="376"/>
      <c r="K28" s="376"/>
      <c r="L28" s="376"/>
      <c r="M28" s="377"/>
    </row>
    <row r="29" spans="1:19" x14ac:dyDescent="0.3">
      <c r="A29" t="s">
        <v>168</v>
      </c>
      <c r="C29" s="112"/>
      <c r="D29" s="112"/>
      <c r="E29" s="112"/>
      <c r="F29" s="112"/>
      <c r="G29" s="112"/>
      <c r="H29" s="112"/>
    </row>
    <row r="30" spans="1:19" x14ac:dyDescent="0.3">
      <c r="D30" s="386" t="s">
        <v>949</v>
      </c>
      <c r="E30" s="386"/>
      <c r="F30" s="386" t="s">
        <v>948</v>
      </c>
      <c r="G30" s="386"/>
      <c r="I30" s="88">
        <f>C12</f>
        <v>400</v>
      </c>
      <c r="J30" s="9" t="s">
        <v>1323</v>
      </c>
      <c r="K30" s="9"/>
      <c r="L30" s="9"/>
      <c r="M30" s="9"/>
      <c r="N30" s="9"/>
      <c r="O30" s="9"/>
      <c r="P30" s="9"/>
      <c r="Q30" s="9"/>
      <c r="R30" s="9"/>
      <c r="S30" s="9"/>
    </row>
    <row r="31" spans="1:19" x14ac:dyDescent="0.3">
      <c r="D31" s="59" t="s">
        <v>957</v>
      </c>
      <c r="E31" s="59" t="s">
        <v>958</v>
      </c>
      <c r="F31" s="59" t="s">
        <v>957</v>
      </c>
      <c r="G31" s="59" t="s">
        <v>956</v>
      </c>
    </row>
    <row r="32" spans="1:19" x14ac:dyDescent="0.3">
      <c r="C32" s="59" t="s">
        <v>919</v>
      </c>
      <c r="D32" s="59">
        <v>650</v>
      </c>
      <c r="E32" s="256">
        <v>50</v>
      </c>
      <c r="F32" s="59">
        <v>250</v>
      </c>
      <c r="G32" s="256">
        <v>125</v>
      </c>
      <c r="J32" s="25" t="s">
        <v>1320</v>
      </c>
      <c r="K32" s="25" t="s">
        <v>1319</v>
      </c>
      <c r="L32" t="s">
        <v>247</v>
      </c>
    </row>
    <row r="33" spans="1:24" x14ac:dyDescent="0.3">
      <c r="C33" s="59" t="s">
        <v>955</v>
      </c>
      <c r="D33" s="59">
        <v>300</v>
      </c>
      <c r="E33" s="256">
        <v>250</v>
      </c>
      <c r="F33" s="59">
        <v>625</v>
      </c>
      <c r="G33" s="256">
        <v>450</v>
      </c>
      <c r="I33" t="s">
        <v>606</v>
      </c>
      <c r="J33" s="257">
        <f>SUMPRODUCT(D32:D34,E32:E34)/SUM(D32:D34)</f>
        <v>220</v>
      </c>
      <c r="K33" s="257">
        <f>SUMPRODUCT(F32:F34,G32:G34)/SUM(F32:F34)</f>
        <v>750</v>
      </c>
      <c r="L33" s="257">
        <f>(SUMPRODUCT(D32:D34,E32:E34)+SUMPRODUCT(F32:F34,G32:G34))/SUM(D32:D34,F32:F34)</f>
        <v>485</v>
      </c>
    </row>
    <row r="34" spans="1:24" x14ac:dyDescent="0.3">
      <c r="C34" s="59" t="s">
        <v>917</v>
      </c>
      <c r="D34" s="59">
        <v>50</v>
      </c>
      <c r="E34" s="256">
        <v>2250</v>
      </c>
      <c r="F34" s="59">
        <v>125</v>
      </c>
      <c r="G34" s="256">
        <v>3500</v>
      </c>
      <c r="I34" t="s">
        <v>1322</v>
      </c>
      <c r="J34" s="283">
        <f>J33/$C$12</f>
        <v>0.55000000000000004</v>
      </c>
      <c r="K34" s="283">
        <f>K33/$C$12</f>
        <v>1.875</v>
      </c>
      <c r="L34" s="9" t="s">
        <v>1321</v>
      </c>
      <c r="M34" s="9"/>
      <c r="N34" s="9"/>
      <c r="O34" s="9"/>
      <c r="P34" s="9"/>
      <c r="Q34" s="9"/>
      <c r="R34" s="9"/>
      <c r="S34" s="9"/>
      <c r="T34" s="9"/>
      <c r="U34" s="9"/>
      <c r="V34" s="9"/>
      <c r="W34" s="9"/>
      <c r="X34" s="9"/>
    </row>
    <row r="35" spans="1:24" x14ac:dyDescent="0.3">
      <c r="C35" s="84"/>
    </row>
    <row r="36" spans="1:24" s="26" customFormat="1" x14ac:dyDescent="0.3">
      <c r="A36" s="26" t="s">
        <v>155</v>
      </c>
    </row>
    <row r="37" spans="1:24" ht="15" thickBot="1" x14ac:dyDescent="0.35"/>
    <row r="38" spans="1:24" ht="15" thickBot="1" x14ac:dyDescent="0.35">
      <c r="C38" s="375" t="s">
        <v>4</v>
      </c>
      <c r="D38" s="376"/>
      <c r="E38" s="376"/>
      <c r="F38" s="376"/>
      <c r="G38" s="377"/>
      <c r="I38" s="375" t="s">
        <v>3</v>
      </c>
      <c r="J38" s="376"/>
      <c r="K38" s="376"/>
      <c r="L38" s="376"/>
      <c r="M38" s="377"/>
    </row>
    <row r="40" spans="1:24" x14ac:dyDescent="0.3">
      <c r="C40" s="386" t="s">
        <v>954</v>
      </c>
      <c r="D40" s="386"/>
      <c r="E40" s="386"/>
      <c r="J40" s="25" t="s">
        <v>1320</v>
      </c>
      <c r="L40" s="25" t="s">
        <v>1319</v>
      </c>
    </row>
    <row r="41" spans="1:24" x14ac:dyDescent="0.3">
      <c r="C41" s="254"/>
      <c r="D41" s="59" t="s">
        <v>949</v>
      </c>
      <c r="E41" s="59" t="s">
        <v>948</v>
      </c>
      <c r="I41" s="14" t="s">
        <v>1318</v>
      </c>
      <c r="J41" s="14">
        <f>G18</f>
        <v>0.9</v>
      </c>
      <c r="L41" s="14">
        <f>G19</f>
        <v>1.1000000000000001</v>
      </c>
    </row>
    <row r="42" spans="1:24" x14ac:dyDescent="0.3">
      <c r="C42" s="254" t="s">
        <v>953</v>
      </c>
      <c r="D42" s="256">
        <v>90</v>
      </c>
      <c r="E42" s="256">
        <v>182</v>
      </c>
      <c r="I42" s="14" t="s">
        <v>1317</v>
      </c>
      <c r="J42" s="14">
        <f>D18</f>
        <v>1</v>
      </c>
      <c r="L42" s="14">
        <f>D20</f>
        <v>1.1499999999999999</v>
      </c>
    </row>
    <row r="43" spans="1:24" x14ac:dyDescent="0.3">
      <c r="C43" s="254" t="s">
        <v>952</v>
      </c>
      <c r="D43" s="256">
        <v>18</v>
      </c>
      <c r="E43" s="256">
        <v>75</v>
      </c>
      <c r="I43" s="14" t="s">
        <v>1316</v>
      </c>
      <c r="J43" s="14">
        <f>D23</f>
        <v>1</v>
      </c>
      <c r="L43" s="14">
        <f>E51*D24+(1-E51)*D23</f>
        <v>1.2749999999999999</v>
      </c>
    </row>
    <row r="44" spans="1:24" x14ac:dyDescent="0.3">
      <c r="C44" s="254" t="s">
        <v>951</v>
      </c>
      <c r="D44" s="256">
        <v>150</v>
      </c>
      <c r="E44" s="256">
        <v>520</v>
      </c>
      <c r="I44" s="14" t="s">
        <v>1315</v>
      </c>
      <c r="J44" s="108">
        <f>C12</f>
        <v>400</v>
      </c>
      <c r="L44" s="108">
        <f>C12</f>
        <v>400</v>
      </c>
    </row>
    <row r="45" spans="1:24" x14ac:dyDescent="0.3">
      <c r="C45" s="254" t="s">
        <v>950</v>
      </c>
      <c r="D45" s="256">
        <v>24</v>
      </c>
      <c r="E45" s="256">
        <v>89</v>
      </c>
      <c r="I45" s="14"/>
    </row>
    <row r="46" spans="1:24" x14ac:dyDescent="0.3">
      <c r="I46" s="14" t="s">
        <v>1314</v>
      </c>
      <c r="J46" s="5">
        <f>J44*PRODUCT(J41:J43)</f>
        <v>360</v>
      </c>
      <c r="L46" s="5">
        <f>L44*PRODUCT(L41:L43)</f>
        <v>645.15</v>
      </c>
    </row>
    <row r="48" spans="1:24" x14ac:dyDescent="0.3">
      <c r="C48" s="255"/>
      <c r="D48" s="59" t="s">
        <v>949</v>
      </c>
      <c r="E48" s="59" t="s">
        <v>948</v>
      </c>
    </row>
    <row r="49" spans="1:22" x14ac:dyDescent="0.3">
      <c r="C49" s="254" t="s">
        <v>947</v>
      </c>
      <c r="D49" s="59">
        <v>24.8</v>
      </c>
      <c r="E49" s="59">
        <v>37.299999999999997</v>
      </c>
    </row>
    <row r="50" spans="1:22" x14ac:dyDescent="0.3">
      <c r="C50" s="254" t="s">
        <v>946</v>
      </c>
      <c r="D50" s="59" t="s">
        <v>945</v>
      </c>
      <c r="E50" s="59" t="s">
        <v>944</v>
      </c>
      <c r="I50" s="14" t="s">
        <v>1313</v>
      </c>
      <c r="J50" s="108">
        <f>D42</f>
        <v>90</v>
      </c>
      <c r="L50" s="108">
        <f>E42</f>
        <v>182</v>
      </c>
    </row>
    <row r="51" spans="1:22" x14ac:dyDescent="0.3">
      <c r="C51" s="254" t="s">
        <v>943</v>
      </c>
      <c r="D51" s="253">
        <v>0</v>
      </c>
      <c r="E51" s="253">
        <v>0.55000000000000004</v>
      </c>
      <c r="I51" s="14" t="s">
        <v>1312</v>
      </c>
      <c r="J51" s="108">
        <f>D43</f>
        <v>18</v>
      </c>
      <c r="L51" s="108">
        <f>E43</f>
        <v>75</v>
      </c>
    </row>
    <row r="52" spans="1:22" x14ac:dyDescent="0.3">
      <c r="I52" s="14" t="s">
        <v>647</v>
      </c>
      <c r="J52" s="108">
        <f>D44</f>
        <v>150</v>
      </c>
      <c r="L52" s="108">
        <f>E44</f>
        <v>520</v>
      </c>
      <c r="M52" s="9" t="s">
        <v>1311</v>
      </c>
      <c r="N52" s="9"/>
      <c r="O52" s="9"/>
      <c r="P52" s="9"/>
      <c r="Q52" s="9"/>
      <c r="R52" s="9"/>
      <c r="S52" s="9"/>
      <c r="T52" s="9"/>
      <c r="U52" s="9"/>
      <c r="V52" s="9"/>
    </row>
    <row r="53" spans="1:22" x14ac:dyDescent="0.3">
      <c r="I53" s="14" t="s">
        <v>1310</v>
      </c>
      <c r="J53" s="108">
        <f>D45</f>
        <v>24</v>
      </c>
      <c r="L53" s="108">
        <f>E45</f>
        <v>89</v>
      </c>
    </row>
    <row r="54" spans="1:22" x14ac:dyDescent="0.3">
      <c r="I54" s="14" t="s">
        <v>1309</v>
      </c>
      <c r="J54" s="108">
        <f>C10</f>
        <v>50</v>
      </c>
      <c r="L54" s="108">
        <f>C10</f>
        <v>50</v>
      </c>
    </row>
    <row r="55" spans="1:22" x14ac:dyDescent="0.3">
      <c r="I55" s="14" t="s">
        <v>1308</v>
      </c>
      <c r="J55" s="108">
        <f>C11</f>
        <v>3</v>
      </c>
      <c r="L55" s="108">
        <f>C11</f>
        <v>3</v>
      </c>
    </row>
    <row r="57" spans="1:22" x14ac:dyDescent="0.3">
      <c r="I57" s="84" t="s">
        <v>1307</v>
      </c>
      <c r="J57" s="5">
        <f>SUM(J50:J55)</f>
        <v>335</v>
      </c>
      <c r="L57" s="5">
        <f>SUM(L50:L55)</f>
        <v>919</v>
      </c>
    </row>
    <row r="59" spans="1:22" s="26" customFormat="1" x14ac:dyDescent="0.3">
      <c r="A59" s="26" t="s">
        <v>203</v>
      </c>
    </row>
    <row r="61" spans="1:22" x14ac:dyDescent="0.3">
      <c r="J61" t="s">
        <v>606</v>
      </c>
      <c r="L61" t="s">
        <v>1306</v>
      </c>
      <c r="N61" t="s">
        <v>1305</v>
      </c>
    </row>
    <row r="62" spans="1:22" x14ac:dyDescent="0.3">
      <c r="I62" t="s">
        <v>1304</v>
      </c>
      <c r="J62" s="108">
        <v>223</v>
      </c>
      <c r="L62" s="108">
        <f>D44</f>
        <v>150</v>
      </c>
      <c r="N62" s="5">
        <f>MAX(L62-J62,0)</f>
        <v>0</v>
      </c>
      <c r="O62" t="s">
        <v>1301</v>
      </c>
    </row>
    <row r="64" spans="1:22" x14ac:dyDescent="0.3">
      <c r="I64" t="s">
        <v>1303</v>
      </c>
      <c r="J64" s="108">
        <v>177</v>
      </c>
      <c r="L64" s="108">
        <f>L62</f>
        <v>150</v>
      </c>
      <c r="N64" s="5">
        <f>MAX(L64-J64,0)</f>
        <v>0</v>
      </c>
      <c r="O64" t="s">
        <v>1301</v>
      </c>
    </row>
    <row r="66" spans="9:15" x14ac:dyDescent="0.3">
      <c r="I66" t="s">
        <v>1302</v>
      </c>
      <c r="J66" s="108">
        <v>304</v>
      </c>
      <c r="L66" s="108">
        <f>L62</f>
        <v>150</v>
      </c>
      <c r="N66" s="5">
        <f>MAX(L66-J66,0)</f>
        <v>0</v>
      </c>
      <c r="O66" t="s">
        <v>1301</v>
      </c>
    </row>
  </sheetData>
  <mergeCells count="8">
    <mergeCell ref="C40:E40"/>
    <mergeCell ref="C8:D8"/>
    <mergeCell ref="C28:G28"/>
    <mergeCell ref="I28:M28"/>
    <mergeCell ref="D30:E30"/>
    <mergeCell ref="F30:G30"/>
    <mergeCell ref="C38:G38"/>
    <mergeCell ref="I38:M38"/>
  </mergeCell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E6536-B129-45E9-BBAB-0F961AFA29EE}">
  <sheetPr>
    <tabColor theme="5" tint="0.39997558519241921"/>
  </sheetPr>
  <dimension ref="A1:M36"/>
  <sheetViews>
    <sheetView workbookViewId="0">
      <selection activeCell="Q46" sqref="Q46"/>
    </sheetView>
  </sheetViews>
  <sheetFormatPr defaultRowHeight="14.4" x14ac:dyDescent="0.3"/>
  <cols>
    <col min="3" max="3" width="22.88671875" customWidth="1"/>
    <col min="9" max="9" width="25.6640625" bestFit="1" customWidth="1"/>
    <col min="10" max="12" width="10.6640625" customWidth="1"/>
  </cols>
  <sheetData>
    <row r="1" spans="1:13" ht="15" thickBot="1" x14ac:dyDescent="0.35">
      <c r="A1" t="s">
        <v>986</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2" spans="1:13" x14ac:dyDescent="0.3">
      <c r="C12" t="s">
        <v>985</v>
      </c>
    </row>
    <row r="14" spans="1:13" ht="15" thickBot="1" x14ac:dyDescent="0.35"/>
    <row r="15" spans="1:13" ht="15" thickBot="1" x14ac:dyDescent="0.35">
      <c r="C15" s="375" t="s">
        <v>4</v>
      </c>
      <c r="D15" s="376"/>
      <c r="E15" s="376"/>
      <c r="F15" s="376"/>
      <c r="G15" s="377"/>
      <c r="I15" s="375" t="s">
        <v>3</v>
      </c>
      <c r="J15" s="376"/>
      <c r="K15" s="376"/>
      <c r="L15" s="376"/>
      <c r="M15" s="377"/>
    </row>
    <row r="17" spans="1:7" s="26" customFormat="1" x14ac:dyDescent="0.3">
      <c r="A17" s="26" t="s">
        <v>175</v>
      </c>
    </row>
    <row r="18" spans="1:7" x14ac:dyDescent="0.3">
      <c r="E18" s="410" t="s">
        <v>984</v>
      </c>
      <c r="F18" s="410"/>
      <c r="G18" s="410"/>
    </row>
    <row r="19" spans="1:7" x14ac:dyDescent="0.3">
      <c r="C19" s="255"/>
      <c r="D19" s="206" t="s">
        <v>983</v>
      </c>
      <c r="E19" s="206" t="s">
        <v>289</v>
      </c>
      <c r="F19" s="206" t="s">
        <v>213</v>
      </c>
      <c r="G19" s="206" t="s">
        <v>977</v>
      </c>
    </row>
    <row r="20" spans="1:7" x14ac:dyDescent="0.3">
      <c r="C20" s="255" t="s">
        <v>982</v>
      </c>
      <c r="D20" s="205">
        <v>10000</v>
      </c>
      <c r="E20" s="206" t="s">
        <v>147</v>
      </c>
      <c r="F20" s="206" t="s">
        <v>147</v>
      </c>
      <c r="G20" s="206" t="s">
        <v>147</v>
      </c>
    </row>
    <row r="21" spans="1:7" x14ac:dyDescent="0.3">
      <c r="C21" s="255" t="s">
        <v>981</v>
      </c>
      <c r="D21" s="206">
        <v>1</v>
      </c>
      <c r="E21" s="206">
        <v>0.8</v>
      </c>
      <c r="F21" s="206">
        <v>0.95</v>
      </c>
      <c r="G21" s="206">
        <v>1.05</v>
      </c>
    </row>
    <row r="22" spans="1:7" x14ac:dyDescent="0.3">
      <c r="C22" s="255" t="s">
        <v>53</v>
      </c>
      <c r="D22" s="206">
        <v>1</v>
      </c>
      <c r="E22" s="206">
        <v>0.85</v>
      </c>
      <c r="F22" s="206">
        <v>0.95</v>
      </c>
      <c r="G22" s="206">
        <v>1.1000000000000001</v>
      </c>
    </row>
    <row r="23" spans="1:7" x14ac:dyDescent="0.3">
      <c r="C23" s="255" t="s">
        <v>980</v>
      </c>
      <c r="D23" s="206">
        <v>1</v>
      </c>
      <c r="E23" s="206">
        <v>0.8</v>
      </c>
      <c r="F23" s="206">
        <v>0.9</v>
      </c>
      <c r="G23" s="206">
        <v>1.1499999999999999</v>
      </c>
    </row>
    <row r="24" spans="1:7" x14ac:dyDescent="0.3">
      <c r="C24" s="255" t="s">
        <v>521</v>
      </c>
      <c r="D24" s="206">
        <v>1.1499999999999999</v>
      </c>
      <c r="E24" s="206">
        <v>1.1000000000000001</v>
      </c>
      <c r="F24" s="206">
        <v>1.1200000000000001</v>
      </c>
      <c r="G24" s="206">
        <v>1.1499999999999999</v>
      </c>
    </row>
    <row r="25" spans="1:7" x14ac:dyDescent="0.3">
      <c r="C25" s="255" t="s">
        <v>979</v>
      </c>
      <c r="D25" s="206" t="s">
        <v>46</v>
      </c>
      <c r="E25" s="58">
        <v>0.25</v>
      </c>
      <c r="F25" s="58">
        <v>0.5</v>
      </c>
      <c r="G25" s="58">
        <v>0.25</v>
      </c>
    </row>
    <row r="26" spans="1:7" x14ac:dyDescent="0.3">
      <c r="C26" s="255" t="s">
        <v>978</v>
      </c>
      <c r="D26" s="206">
        <v>1</v>
      </c>
      <c r="E26" s="206">
        <v>0.8</v>
      </c>
      <c r="F26" s="206">
        <v>0.95</v>
      </c>
      <c r="G26" s="206">
        <v>1.2</v>
      </c>
    </row>
    <row r="30" spans="1:7" s="26" customFormat="1" x14ac:dyDescent="0.3">
      <c r="A30" s="26" t="s">
        <v>168</v>
      </c>
    </row>
    <row r="32" spans="1:7" x14ac:dyDescent="0.3">
      <c r="C32" s="255"/>
      <c r="D32" s="59" t="s">
        <v>289</v>
      </c>
      <c r="E32" s="59" t="s">
        <v>213</v>
      </c>
      <c r="F32" s="59" t="s">
        <v>977</v>
      </c>
    </row>
    <row r="33" spans="1:6" x14ac:dyDescent="0.3">
      <c r="C33" s="255" t="s">
        <v>976</v>
      </c>
      <c r="D33" s="258">
        <v>0.2</v>
      </c>
      <c r="E33" s="258">
        <v>0.4</v>
      </c>
      <c r="F33" s="258">
        <v>0.4</v>
      </c>
    </row>
    <row r="36" spans="1:6" s="26" customFormat="1" x14ac:dyDescent="0.3">
      <c r="A36" s="26" t="s">
        <v>975</v>
      </c>
    </row>
  </sheetData>
  <mergeCells count="4">
    <mergeCell ref="C10:F10"/>
    <mergeCell ref="C15:G15"/>
    <mergeCell ref="I15:M15"/>
    <mergeCell ref="E18:G18"/>
  </mergeCells>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DC6CB-B9A1-459D-A780-BF5CD0648C4C}">
  <sheetPr>
    <tabColor theme="9" tint="0.59999389629810485"/>
  </sheetPr>
  <dimension ref="A1:M43"/>
  <sheetViews>
    <sheetView topLeftCell="A9" workbookViewId="0">
      <selection activeCell="I63" sqref="I63"/>
    </sheetView>
  </sheetViews>
  <sheetFormatPr defaultRowHeight="14.4" x14ac:dyDescent="0.3"/>
  <cols>
    <col min="3" max="3" width="22.88671875" customWidth="1"/>
    <col min="9" max="9" width="25.6640625" bestFit="1" customWidth="1"/>
    <col min="10" max="12" width="10.6640625" customWidth="1"/>
  </cols>
  <sheetData>
    <row r="1" spans="1:13" ht="15" thickBot="1" x14ac:dyDescent="0.35">
      <c r="A1" t="s">
        <v>986</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2" spans="1:13" x14ac:dyDescent="0.3">
      <c r="C12" t="s">
        <v>985</v>
      </c>
    </row>
    <row r="14" spans="1:13" ht="15" thickBot="1" x14ac:dyDescent="0.35"/>
    <row r="15" spans="1:13" ht="15" thickBot="1" x14ac:dyDescent="0.35">
      <c r="C15" s="375" t="s">
        <v>4</v>
      </c>
      <c r="D15" s="376"/>
      <c r="E15" s="376"/>
      <c r="F15" s="376"/>
      <c r="G15" s="377"/>
      <c r="I15" s="375" t="s">
        <v>3</v>
      </c>
      <c r="J15" s="376"/>
      <c r="K15" s="376"/>
      <c r="L15" s="376"/>
      <c r="M15" s="377"/>
    </row>
    <row r="17" spans="1:12" s="26" customFormat="1" x14ac:dyDescent="0.3">
      <c r="A17" s="26" t="s">
        <v>175</v>
      </c>
    </row>
    <row r="18" spans="1:12" x14ac:dyDescent="0.3">
      <c r="E18" s="410" t="s">
        <v>984</v>
      </c>
      <c r="F18" s="410"/>
      <c r="G18" s="410"/>
    </row>
    <row r="19" spans="1:12" x14ac:dyDescent="0.3">
      <c r="C19" s="255"/>
      <c r="D19" s="206" t="s">
        <v>983</v>
      </c>
      <c r="E19" s="206" t="s">
        <v>289</v>
      </c>
      <c r="F19" s="206" t="s">
        <v>213</v>
      </c>
      <c r="G19" s="206" t="s">
        <v>977</v>
      </c>
      <c r="J19" t="s">
        <v>289</v>
      </c>
      <c r="K19" t="s">
        <v>213</v>
      </c>
      <c r="L19" t="s">
        <v>977</v>
      </c>
    </row>
    <row r="20" spans="1:12" x14ac:dyDescent="0.3">
      <c r="C20" s="255" t="s">
        <v>982</v>
      </c>
      <c r="D20" s="205">
        <v>10000</v>
      </c>
      <c r="E20" s="206" t="s">
        <v>147</v>
      </c>
      <c r="F20" s="206" t="s">
        <v>147</v>
      </c>
      <c r="G20" s="206" t="s">
        <v>147</v>
      </c>
      <c r="I20" t="s">
        <v>1339</v>
      </c>
      <c r="J20" s="4">
        <f>$D$20</f>
        <v>10000</v>
      </c>
      <c r="K20" s="4">
        <f>$D$20</f>
        <v>10000</v>
      </c>
      <c r="L20" s="4">
        <f>$D$20</f>
        <v>10000</v>
      </c>
    </row>
    <row r="21" spans="1:12" x14ac:dyDescent="0.3">
      <c r="C21" s="255" t="s">
        <v>981</v>
      </c>
      <c r="D21" s="206">
        <v>1</v>
      </c>
      <c r="E21" s="206">
        <v>0.8</v>
      </c>
      <c r="F21" s="206">
        <v>0.95</v>
      </c>
      <c r="G21" s="206">
        <v>1.05</v>
      </c>
      <c r="I21" t="s">
        <v>1338</v>
      </c>
      <c r="J21">
        <f t="shared" ref="J21:L24" si="0">E21</f>
        <v>0.8</v>
      </c>
      <c r="K21">
        <f t="shared" si="0"/>
        <v>0.95</v>
      </c>
      <c r="L21">
        <f t="shared" si="0"/>
        <v>1.05</v>
      </c>
    </row>
    <row r="22" spans="1:12" x14ac:dyDescent="0.3">
      <c r="C22" s="255" t="s">
        <v>53</v>
      </c>
      <c r="D22" s="206">
        <v>1</v>
      </c>
      <c r="E22" s="206">
        <v>0.85</v>
      </c>
      <c r="F22" s="206">
        <v>0.95</v>
      </c>
      <c r="G22" s="206">
        <v>1.1000000000000001</v>
      </c>
      <c r="I22" t="s">
        <v>1337</v>
      </c>
      <c r="J22">
        <f t="shared" si="0"/>
        <v>0.85</v>
      </c>
      <c r="K22">
        <f t="shared" si="0"/>
        <v>0.95</v>
      </c>
      <c r="L22">
        <f t="shared" si="0"/>
        <v>1.1000000000000001</v>
      </c>
    </row>
    <row r="23" spans="1:12" x14ac:dyDescent="0.3">
      <c r="C23" s="255" t="s">
        <v>980</v>
      </c>
      <c r="D23" s="206">
        <v>1</v>
      </c>
      <c r="E23" s="206">
        <v>0.8</v>
      </c>
      <c r="F23" s="206">
        <v>0.9</v>
      </c>
      <c r="G23" s="206">
        <v>1.1499999999999999</v>
      </c>
      <c r="I23" t="s">
        <v>1336</v>
      </c>
      <c r="J23">
        <f t="shared" si="0"/>
        <v>0.8</v>
      </c>
      <c r="K23">
        <f t="shared" si="0"/>
        <v>0.9</v>
      </c>
      <c r="L23">
        <f t="shared" si="0"/>
        <v>1.1499999999999999</v>
      </c>
    </row>
    <row r="24" spans="1:12" x14ac:dyDescent="0.3">
      <c r="C24" s="255" t="s">
        <v>521</v>
      </c>
      <c r="D24" s="206">
        <v>1.1499999999999999</v>
      </c>
      <c r="E24" s="206">
        <v>1.1000000000000001</v>
      </c>
      <c r="F24" s="206">
        <v>1.1200000000000001</v>
      </c>
      <c r="G24" s="206">
        <v>1.1499999999999999</v>
      </c>
      <c r="I24" t="s">
        <v>1335</v>
      </c>
      <c r="J24">
        <f t="shared" si="0"/>
        <v>1.1000000000000001</v>
      </c>
      <c r="K24">
        <f t="shared" si="0"/>
        <v>1.1200000000000001</v>
      </c>
      <c r="L24">
        <f t="shared" si="0"/>
        <v>1.1499999999999999</v>
      </c>
    </row>
    <row r="25" spans="1:12" x14ac:dyDescent="0.3">
      <c r="C25" s="255" t="s">
        <v>979</v>
      </c>
      <c r="D25" s="206" t="s">
        <v>46</v>
      </c>
      <c r="E25" s="58">
        <v>0.25</v>
      </c>
      <c r="F25" s="58">
        <v>0.5</v>
      </c>
      <c r="G25" s="58">
        <v>0.25</v>
      </c>
      <c r="I25" t="s">
        <v>1334</v>
      </c>
      <c r="J25">
        <f>E26</f>
        <v>0.8</v>
      </c>
      <c r="K25">
        <f>F26</f>
        <v>0.95</v>
      </c>
      <c r="L25">
        <f>G26</f>
        <v>1.2</v>
      </c>
    </row>
    <row r="26" spans="1:12" x14ac:dyDescent="0.3">
      <c r="C26" s="255" t="s">
        <v>978</v>
      </c>
      <c r="D26" s="206">
        <v>1</v>
      </c>
      <c r="E26" s="206">
        <v>0.8</v>
      </c>
      <c r="F26" s="206">
        <v>0.95</v>
      </c>
      <c r="G26" s="206">
        <v>1.2</v>
      </c>
      <c r="I26" t="s">
        <v>1333</v>
      </c>
      <c r="J26" s="109">
        <f>PRODUCT(J20:J25)</f>
        <v>4787.2000000000007</v>
      </c>
      <c r="K26" s="109">
        <f>PRODUCT(K20:K25)</f>
        <v>8642.34</v>
      </c>
      <c r="L26" s="109">
        <f>PRODUCT(L20:L25)</f>
        <v>18329.850000000002</v>
      </c>
    </row>
    <row r="27" spans="1:12" x14ac:dyDescent="0.3">
      <c r="I27" t="s">
        <v>1332</v>
      </c>
      <c r="J27" s="98">
        <f>E25</f>
        <v>0.25</v>
      </c>
      <c r="K27" s="98">
        <f>F25</f>
        <v>0.5</v>
      </c>
      <c r="L27" s="98">
        <f>G25</f>
        <v>0.25</v>
      </c>
    </row>
    <row r="29" spans="1:12" x14ac:dyDescent="0.3">
      <c r="L29" s="5">
        <f>SUMPRODUCT(J26:L26,J27:L27)</f>
        <v>10100.432500000001</v>
      </c>
    </row>
    <row r="30" spans="1:12" s="26" customFormat="1" x14ac:dyDescent="0.3">
      <c r="A30" s="26" t="s">
        <v>168</v>
      </c>
    </row>
    <row r="32" spans="1:12" x14ac:dyDescent="0.3">
      <c r="C32" s="255"/>
      <c r="D32" s="59" t="s">
        <v>289</v>
      </c>
      <c r="E32" s="59" t="s">
        <v>213</v>
      </c>
      <c r="F32" s="59" t="s">
        <v>977</v>
      </c>
    </row>
    <row r="33" spans="1:12" x14ac:dyDescent="0.3">
      <c r="C33" s="255" t="s">
        <v>976</v>
      </c>
      <c r="D33" s="258">
        <v>0.2</v>
      </c>
      <c r="E33" s="258">
        <v>0.4</v>
      </c>
      <c r="F33" s="258">
        <v>0.4</v>
      </c>
    </row>
    <row r="34" spans="1:12" x14ac:dyDescent="0.3">
      <c r="L34" s="5">
        <f>SUMPRODUCT(D33:F33,J26:L26)</f>
        <v>11746.316000000003</v>
      </c>
    </row>
    <row r="36" spans="1:12" s="26" customFormat="1" x14ac:dyDescent="0.3">
      <c r="A36" s="26" t="s">
        <v>975</v>
      </c>
    </row>
    <row r="38" spans="1:12" x14ac:dyDescent="0.3">
      <c r="I38" t="s">
        <v>1331</v>
      </c>
      <c r="J38" s="4">
        <f>L29</f>
        <v>10100.432500000001</v>
      </c>
    </row>
    <row r="39" spans="1:12" x14ac:dyDescent="0.3">
      <c r="I39" t="s">
        <v>1330</v>
      </c>
      <c r="J39" s="4">
        <f>L34</f>
        <v>11746.316000000003</v>
      </c>
    </row>
    <row r="40" spans="1:12" x14ac:dyDescent="0.3">
      <c r="I40" t="s">
        <v>1329</v>
      </c>
      <c r="J40" s="4">
        <f>J38-J39</f>
        <v>-1645.8835000000017</v>
      </c>
      <c r="K40" t="s">
        <v>1328</v>
      </c>
    </row>
    <row r="41" spans="1:12" x14ac:dyDescent="0.3">
      <c r="I41" t="s">
        <v>1327</v>
      </c>
      <c r="J41" s="4">
        <f>J38*0.02</f>
        <v>202.00865000000002</v>
      </c>
      <c r="K41" t="s">
        <v>1326</v>
      </c>
    </row>
    <row r="42" spans="1:12" x14ac:dyDescent="0.3">
      <c r="I42" t="s">
        <v>1325</v>
      </c>
      <c r="J42" s="98">
        <v>0.5</v>
      </c>
    </row>
    <row r="43" spans="1:12" x14ac:dyDescent="0.3">
      <c r="I43" t="s">
        <v>1324</v>
      </c>
      <c r="J43" s="5">
        <f>J42*J40</f>
        <v>-822.94175000000087</v>
      </c>
    </row>
  </sheetData>
  <mergeCells count="4">
    <mergeCell ref="C10:F10"/>
    <mergeCell ref="C15:G15"/>
    <mergeCell ref="I15:M15"/>
    <mergeCell ref="E18:G18"/>
  </mergeCell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94BD3-0F8D-49CA-A482-1DC91FACFEB5}">
  <sheetPr>
    <tabColor theme="5" tint="0.39997558519241921"/>
  </sheetPr>
  <dimension ref="A1:M32"/>
  <sheetViews>
    <sheetView workbookViewId="0">
      <selection activeCell="Q46" sqref="Q46"/>
    </sheetView>
  </sheetViews>
  <sheetFormatPr defaultRowHeight="14.4" x14ac:dyDescent="0.3"/>
  <cols>
    <col min="14" max="14" width="12.6640625" customWidth="1"/>
  </cols>
  <sheetData>
    <row r="1" spans="1:8" ht="15" thickBot="1" x14ac:dyDescent="0.35">
      <c r="A1" t="s">
        <v>995</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D12" t="s">
        <v>994</v>
      </c>
    </row>
    <row r="14" spans="1:8" x14ac:dyDescent="0.3">
      <c r="D14" t="s">
        <v>993</v>
      </c>
    </row>
    <row r="15" spans="1:8" x14ac:dyDescent="0.3">
      <c r="D15" t="s">
        <v>992</v>
      </c>
    </row>
    <row r="16" spans="1:8" x14ac:dyDescent="0.3">
      <c r="C16" s="109">
        <v>3000</v>
      </c>
      <c r="D16" t="s">
        <v>991</v>
      </c>
    </row>
    <row r="17" spans="3:13" x14ac:dyDescent="0.3">
      <c r="C17" s="57">
        <v>0.05</v>
      </c>
      <c r="D17" t="s">
        <v>990</v>
      </c>
    </row>
    <row r="18" spans="3:13" x14ac:dyDescent="0.3">
      <c r="D18" t="s">
        <v>989</v>
      </c>
    </row>
    <row r="19" spans="3:13" x14ac:dyDescent="0.3">
      <c r="C19" s="109">
        <v>46.8</v>
      </c>
    </row>
    <row r="20" spans="3:13" x14ac:dyDescent="0.3">
      <c r="C20" s="57">
        <v>0.04</v>
      </c>
    </row>
    <row r="21" spans="3:13" ht="15" thickBot="1" x14ac:dyDescent="0.35"/>
    <row r="22" spans="3:13" ht="15" thickBot="1" x14ac:dyDescent="0.35">
      <c r="C22" s="375" t="s">
        <v>4</v>
      </c>
      <c r="D22" s="376"/>
      <c r="E22" s="376"/>
      <c r="F22" s="376"/>
      <c r="G22" s="377"/>
      <c r="I22" s="375" t="s">
        <v>3</v>
      </c>
      <c r="J22" s="376"/>
      <c r="K22" s="376"/>
      <c r="L22" s="376"/>
      <c r="M22" s="377"/>
    </row>
    <row r="24" spans="3:13" x14ac:dyDescent="0.3">
      <c r="C24" t="s">
        <v>988</v>
      </c>
    </row>
    <row r="26" spans="3:13" x14ac:dyDescent="0.3">
      <c r="C26" t="s">
        <v>987</v>
      </c>
      <c r="D26" t="s">
        <v>425</v>
      </c>
      <c r="E26" t="s">
        <v>987</v>
      </c>
      <c r="F26" t="s">
        <v>425</v>
      </c>
    </row>
    <row r="27" spans="3:13" x14ac:dyDescent="0.3">
      <c r="C27" s="259">
        <v>43831</v>
      </c>
      <c r="D27">
        <v>10</v>
      </c>
      <c r="E27" s="259">
        <v>44013</v>
      </c>
      <c r="F27">
        <v>10</v>
      </c>
    </row>
    <row r="28" spans="3:13" x14ac:dyDescent="0.3">
      <c r="C28" s="259">
        <v>43862</v>
      </c>
      <c r="D28">
        <v>5</v>
      </c>
      <c r="E28" s="259">
        <v>44044</v>
      </c>
      <c r="F28">
        <v>5</v>
      </c>
    </row>
    <row r="29" spans="3:13" x14ac:dyDescent="0.3">
      <c r="C29" s="259">
        <v>43891</v>
      </c>
      <c r="D29">
        <v>10</v>
      </c>
      <c r="E29" s="259">
        <v>44075</v>
      </c>
      <c r="F29">
        <v>10</v>
      </c>
    </row>
    <row r="30" spans="3:13" x14ac:dyDescent="0.3">
      <c r="C30" s="259">
        <v>43922</v>
      </c>
      <c r="D30">
        <v>5</v>
      </c>
      <c r="E30" s="259">
        <v>44105</v>
      </c>
      <c r="F30">
        <v>5</v>
      </c>
    </row>
    <row r="31" spans="3:13" x14ac:dyDescent="0.3">
      <c r="C31" s="259">
        <v>43952</v>
      </c>
      <c r="D31">
        <v>10</v>
      </c>
      <c r="E31" s="259">
        <v>44136</v>
      </c>
      <c r="F31">
        <v>10</v>
      </c>
    </row>
    <row r="32" spans="3:13" x14ac:dyDescent="0.3">
      <c r="C32" s="259">
        <v>43983</v>
      </c>
      <c r="D32">
        <v>5</v>
      </c>
      <c r="E32" s="259">
        <v>44166</v>
      </c>
      <c r="F32">
        <v>5</v>
      </c>
    </row>
  </sheetData>
  <mergeCells count="3">
    <mergeCell ref="C10:F10"/>
    <mergeCell ref="C22:G22"/>
    <mergeCell ref="I22:M22"/>
  </mergeCell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763CD-97C1-4365-8412-F844F751CCA0}">
  <sheetPr>
    <tabColor theme="9" tint="0.59999389629810485"/>
  </sheetPr>
  <dimension ref="A1:N42"/>
  <sheetViews>
    <sheetView workbookViewId="0">
      <selection activeCell="I63" sqref="I63"/>
    </sheetView>
  </sheetViews>
  <sheetFormatPr defaultRowHeight="14.4" x14ac:dyDescent="0.3"/>
  <cols>
    <col min="14" max="14" width="12.6640625" customWidth="1"/>
  </cols>
  <sheetData>
    <row r="1" spans="1:8" ht="15" thickBot="1" x14ac:dyDescent="0.35">
      <c r="A1" t="s">
        <v>995</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D12" t="s">
        <v>994</v>
      </c>
    </row>
    <row r="14" spans="1:8" x14ac:dyDescent="0.3">
      <c r="D14" t="s">
        <v>993</v>
      </c>
    </row>
    <row r="15" spans="1:8" x14ac:dyDescent="0.3">
      <c r="D15" t="s">
        <v>992</v>
      </c>
    </row>
    <row r="16" spans="1:8" x14ac:dyDescent="0.3">
      <c r="C16" s="109">
        <v>3000</v>
      </c>
      <c r="D16" t="s">
        <v>991</v>
      </c>
    </row>
    <row r="17" spans="3:14" x14ac:dyDescent="0.3">
      <c r="C17" s="57">
        <v>0.05</v>
      </c>
      <c r="D17" t="s">
        <v>990</v>
      </c>
    </row>
    <row r="18" spans="3:14" x14ac:dyDescent="0.3">
      <c r="D18" t="s">
        <v>989</v>
      </c>
    </row>
    <row r="19" spans="3:14" x14ac:dyDescent="0.3">
      <c r="C19" s="109">
        <v>46.8</v>
      </c>
    </row>
    <row r="20" spans="3:14" x14ac:dyDescent="0.3">
      <c r="C20" s="57">
        <v>0.04</v>
      </c>
    </row>
    <row r="21" spans="3:14" ht="15" thickBot="1" x14ac:dyDescent="0.35"/>
    <row r="22" spans="3:14" ht="15" thickBot="1" x14ac:dyDescent="0.35">
      <c r="C22" s="375" t="s">
        <v>4</v>
      </c>
      <c r="D22" s="376"/>
      <c r="E22" s="376"/>
      <c r="F22" s="376"/>
      <c r="G22" s="377"/>
      <c r="I22" s="375" t="s">
        <v>3</v>
      </c>
      <c r="J22" s="376"/>
      <c r="K22" s="376"/>
      <c r="L22" s="376"/>
      <c r="M22" s="377"/>
    </row>
    <row r="24" spans="3:14" x14ac:dyDescent="0.3">
      <c r="C24" t="s">
        <v>988</v>
      </c>
    </row>
    <row r="26" spans="3:14" x14ac:dyDescent="0.3">
      <c r="C26" t="s">
        <v>987</v>
      </c>
      <c r="D26" t="s">
        <v>425</v>
      </c>
      <c r="E26" t="s">
        <v>987</v>
      </c>
      <c r="F26" t="s">
        <v>425</v>
      </c>
      <c r="I26" t="s">
        <v>1349</v>
      </c>
    </row>
    <row r="27" spans="3:14" x14ac:dyDescent="0.3">
      <c r="C27" s="259">
        <v>43831</v>
      </c>
      <c r="D27">
        <v>10</v>
      </c>
      <c r="E27" s="259">
        <v>44013</v>
      </c>
      <c r="F27">
        <v>10</v>
      </c>
      <c r="K27" t="s">
        <v>288</v>
      </c>
      <c r="L27" t="s">
        <v>275</v>
      </c>
      <c r="M27" t="s">
        <v>1348</v>
      </c>
      <c r="N27" t="s">
        <v>1344</v>
      </c>
    </row>
    <row r="28" spans="3:14" x14ac:dyDescent="0.3">
      <c r="C28" s="259">
        <v>43862</v>
      </c>
      <c r="D28">
        <v>5</v>
      </c>
      <c r="E28" s="259">
        <v>44044</v>
      </c>
      <c r="F28">
        <v>5</v>
      </c>
      <c r="K28">
        <v>2020</v>
      </c>
      <c r="L28">
        <v>5</v>
      </c>
      <c r="M28" s="4">
        <f>C16</f>
        <v>3000</v>
      </c>
      <c r="N28" s="4">
        <f>L28*M28</f>
        <v>15000</v>
      </c>
    </row>
    <row r="29" spans="3:14" x14ac:dyDescent="0.3">
      <c r="C29" s="259">
        <v>43891</v>
      </c>
      <c r="D29">
        <v>10</v>
      </c>
      <c r="E29" s="259">
        <v>44075</v>
      </c>
      <c r="F29">
        <v>10</v>
      </c>
      <c r="K29">
        <v>2021</v>
      </c>
      <c r="L29">
        <v>5</v>
      </c>
      <c r="M29" s="4">
        <f>M28*(1+$C$17)</f>
        <v>3150</v>
      </c>
      <c r="N29" s="4">
        <f>L29*M29</f>
        <v>15750</v>
      </c>
    </row>
    <row r="30" spans="3:14" x14ac:dyDescent="0.3">
      <c r="C30" s="259">
        <v>43922</v>
      </c>
      <c r="D30">
        <v>5</v>
      </c>
      <c r="E30" s="259">
        <v>44105</v>
      </c>
      <c r="F30">
        <v>5</v>
      </c>
      <c r="K30">
        <v>2022</v>
      </c>
      <c r="L30">
        <v>5</v>
      </c>
      <c r="M30" s="4">
        <f>M29*(1+$C$17)</f>
        <v>3307.5</v>
      </c>
      <c r="N30" s="4">
        <f>L30*M30</f>
        <v>16537.5</v>
      </c>
    </row>
    <row r="31" spans="3:14" x14ac:dyDescent="0.3">
      <c r="C31" s="259">
        <v>43952</v>
      </c>
      <c r="D31">
        <v>10</v>
      </c>
      <c r="E31" s="259">
        <v>44136</v>
      </c>
      <c r="F31">
        <v>10</v>
      </c>
    </row>
    <row r="32" spans="3:14" x14ac:dyDescent="0.3">
      <c r="C32" s="259">
        <v>43983</v>
      </c>
      <c r="D32">
        <v>5</v>
      </c>
      <c r="E32" s="259">
        <v>44166</v>
      </c>
      <c r="F32">
        <v>5</v>
      </c>
    </row>
    <row r="35" spans="9:14" x14ac:dyDescent="0.3">
      <c r="I35" t="s">
        <v>1347</v>
      </c>
    </row>
    <row r="36" spans="9:14" x14ac:dyDescent="0.3">
      <c r="J36" t="s">
        <v>1346</v>
      </c>
      <c r="K36" t="s">
        <v>288</v>
      </c>
      <c r="L36" t="s">
        <v>425</v>
      </c>
      <c r="M36" t="s">
        <v>1345</v>
      </c>
      <c r="N36" t="s">
        <v>1344</v>
      </c>
    </row>
    <row r="37" spans="9:14" x14ac:dyDescent="0.3">
      <c r="J37" t="s">
        <v>1343</v>
      </c>
      <c r="K37">
        <v>2022</v>
      </c>
      <c r="L37">
        <f>SUM(D27:D32)</f>
        <v>45</v>
      </c>
      <c r="M37" s="56">
        <f>C19</f>
        <v>46.8</v>
      </c>
      <c r="N37" s="4">
        <f>M37*L37</f>
        <v>2106</v>
      </c>
    </row>
    <row r="38" spans="9:14" x14ac:dyDescent="0.3">
      <c r="J38" t="s">
        <v>1342</v>
      </c>
      <c r="K38">
        <v>2022</v>
      </c>
      <c r="L38">
        <f>SUM(F27:F32)</f>
        <v>45</v>
      </c>
      <c r="M38" s="56">
        <f>M37*(1+$C$20)</f>
        <v>48.671999999999997</v>
      </c>
      <c r="N38" s="4">
        <f>M38*L38</f>
        <v>2190.2399999999998</v>
      </c>
    </row>
    <row r="39" spans="9:14" x14ac:dyDescent="0.3">
      <c r="M39" t="s">
        <v>1341</v>
      </c>
      <c r="N39" s="4">
        <f>SUM(N37:N38)</f>
        <v>4296.24</v>
      </c>
    </row>
    <row r="42" spans="9:14" x14ac:dyDescent="0.3">
      <c r="I42" t="s">
        <v>1340</v>
      </c>
      <c r="N42" s="5">
        <f>N39-N30</f>
        <v>-12241.26</v>
      </c>
    </row>
  </sheetData>
  <mergeCells count="3">
    <mergeCell ref="C10:F10"/>
    <mergeCell ref="C22:G22"/>
    <mergeCell ref="I22:M22"/>
  </mergeCell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E8365-C3BF-45FE-A934-1DF5FCB5D3D6}">
  <sheetPr>
    <tabColor theme="5" tint="0.39997558519241921"/>
  </sheetPr>
  <dimension ref="A1:M54"/>
  <sheetViews>
    <sheetView workbookViewId="0">
      <selection activeCell="Q46" sqref="Q46"/>
    </sheetView>
  </sheetViews>
  <sheetFormatPr defaultRowHeight="14.4" x14ac:dyDescent="0.3"/>
  <cols>
    <col min="3" max="3" width="32.33203125" customWidth="1"/>
    <col min="9" max="9" width="31.5546875" customWidth="1"/>
    <col min="10" max="13" width="29.5546875" customWidth="1"/>
  </cols>
  <sheetData>
    <row r="1" spans="1:8" ht="15" thickBot="1" x14ac:dyDescent="0.35">
      <c r="A1" t="s">
        <v>1024</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t="s">
        <v>1023</v>
      </c>
    </row>
    <row r="14" spans="1:8" x14ac:dyDescent="0.3">
      <c r="C14">
        <v>0.04</v>
      </c>
      <c r="D14" t="s">
        <v>1012</v>
      </c>
      <c r="G14" t="s">
        <v>1011</v>
      </c>
    </row>
    <row r="15" spans="1:8" x14ac:dyDescent="0.3">
      <c r="C15">
        <v>0.05</v>
      </c>
      <c r="D15" t="s">
        <v>1010</v>
      </c>
      <c r="G15" t="s">
        <v>1009</v>
      </c>
    </row>
    <row r="16" spans="1:8" x14ac:dyDescent="0.3">
      <c r="C16">
        <v>0.03</v>
      </c>
      <c r="D16" t="s">
        <v>1008</v>
      </c>
      <c r="G16" t="s">
        <v>1007</v>
      </c>
    </row>
    <row r="17" spans="2:13" x14ac:dyDescent="0.3">
      <c r="C17">
        <v>0.02</v>
      </c>
      <c r="D17" t="s">
        <v>1006</v>
      </c>
      <c r="G17" t="s">
        <v>1005</v>
      </c>
    </row>
    <row r="18" spans="2:13" x14ac:dyDescent="0.3">
      <c r="C18">
        <v>0.05</v>
      </c>
      <c r="D18" t="s">
        <v>1004</v>
      </c>
      <c r="G18" t="s">
        <v>1003</v>
      </c>
    </row>
    <row r="19" spans="2:13" x14ac:dyDescent="0.3">
      <c r="C19">
        <v>0</v>
      </c>
      <c r="D19" t="s">
        <v>1002</v>
      </c>
      <c r="G19" t="s">
        <v>1001</v>
      </c>
    </row>
    <row r="21" spans="2:13" ht="15" thickBot="1" x14ac:dyDescent="0.35"/>
    <row r="22" spans="2:13" ht="15" thickBot="1" x14ac:dyDescent="0.35">
      <c r="C22" s="375" t="s">
        <v>4</v>
      </c>
      <c r="D22" s="376"/>
      <c r="E22" s="376"/>
      <c r="F22" s="376"/>
      <c r="G22" s="377"/>
      <c r="I22" s="375" t="s">
        <v>3</v>
      </c>
      <c r="J22" s="376"/>
      <c r="K22" s="376"/>
      <c r="L22" s="376"/>
      <c r="M22" s="377"/>
    </row>
    <row r="23" spans="2:13" s="26" customFormat="1" x14ac:dyDescent="0.3">
      <c r="B23" s="26" t="s">
        <v>175</v>
      </c>
    </row>
    <row r="24" spans="2:13" x14ac:dyDescent="0.3">
      <c r="D24" t="s">
        <v>1022</v>
      </c>
      <c r="E24" t="s">
        <v>1021</v>
      </c>
      <c r="F24" t="s">
        <v>1020</v>
      </c>
    </row>
    <row r="25" spans="2:13" x14ac:dyDescent="0.3">
      <c r="C25" t="s">
        <v>1019</v>
      </c>
      <c r="D25">
        <v>260</v>
      </c>
      <c r="E25">
        <v>180</v>
      </c>
      <c r="F25">
        <v>310</v>
      </c>
    </row>
    <row r="26" spans="2:13" x14ac:dyDescent="0.3">
      <c r="C26" t="s">
        <v>1018</v>
      </c>
      <c r="D26">
        <v>4160</v>
      </c>
      <c r="E26">
        <v>4100</v>
      </c>
      <c r="F26">
        <v>4312</v>
      </c>
    </row>
    <row r="27" spans="2:13" x14ac:dyDescent="0.3">
      <c r="C27" t="s">
        <v>1017</v>
      </c>
      <c r="D27">
        <v>10110</v>
      </c>
      <c r="E27">
        <v>10505</v>
      </c>
      <c r="F27">
        <v>14011</v>
      </c>
    </row>
    <row r="28" spans="2:13" x14ac:dyDescent="0.3">
      <c r="C28" t="s">
        <v>1016</v>
      </c>
      <c r="D28">
        <v>112</v>
      </c>
      <c r="E28">
        <v>541</v>
      </c>
      <c r="F28">
        <v>1232</v>
      </c>
    </row>
    <row r="29" spans="2:13" x14ac:dyDescent="0.3">
      <c r="C29" t="s">
        <v>1015</v>
      </c>
      <c r="D29">
        <v>875</v>
      </c>
      <c r="E29">
        <v>910</v>
      </c>
      <c r="F29">
        <v>1080</v>
      </c>
    </row>
    <row r="30" spans="2:13" x14ac:dyDescent="0.3">
      <c r="C30" t="s">
        <v>1014</v>
      </c>
      <c r="D30">
        <v>370</v>
      </c>
      <c r="E30">
        <v>460</v>
      </c>
      <c r="F30">
        <v>680</v>
      </c>
    </row>
    <row r="31" spans="2:13" x14ac:dyDescent="0.3">
      <c r="C31" t="s">
        <v>1013</v>
      </c>
      <c r="D31">
        <f>1/14</f>
        <v>7.1428571428571425E-2</v>
      </c>
      <c r="E31">
        <f>4/14</f>
        <v>0.2857142857142857</v>
      </c>
      <c r="F31">
        <f>9/14</f>
        <v>0.6428571428571429</v>
      </c>
    </row>
    <row r="33" spans="2:6" x14ac:dyDescent="0.3">
      <c r="C33" t="s">
        <v>1012</v>
      </c>
      <c r="F33" t="s">
        <v>1011</v>
      </c>
    </row>
    <row r="34" spans="2:6" x14ac:dyDescent="0.3">
      <c r="C34" t="s">
        <v>1010</v>
      </c>
      <c r="F34" t="s">
        <v>1009</v>
      </c>
    </row>
    <row r="35" spans="2:6" x14ac:dyDescent="0.3">
      <c r="C35" t="s">
        <v>1008</v>
      </c>
      <c r="F35" t="s">
        <v>1007</v>
      </c>
    </row>
    <row r="36" spans="2:6" x14ac:dyDescent="0.3">
      <c r="C36" t="s">
        <v>1006</v>
      </c>
      <c r="F36" t="s">
        <v>1005</v>
      </c>
    </row>
    <row r="37" spans="2:6" x14ac:dyDescent="0.3">
      <c r="C37" t="s">
        <v>1004</v>
      </c>
      <c r="F37" t="s">
        <v>1003</v>
      </c>
    </row>
    <row r="38" spans="2:6" x14ac:dyDescent="0.3">
      <c r="C38" t="s">
        <v>1002</v>
      </c>
      <c r="F38" t="s">
        <v>1001</v>
      </c>
    </row>
    <row r="39" spans="2:6" x14ac:dyDescent="0.3">
      <c r="C39" t="s">
        <v>1000</v>
      </c>
      <c r="F39">
        <v>325</v>
      </c>
    </row>
    <row r="40" spans="2:6" x14ac:dyDescent="0.3">
      <c r="C40" t="s">
        <v>999</v>
      </c>
      <c r="F40">
        <v>24.75</v>
      </c>
    </row>
    <row r="41" spans="2:6" x14ac:dyDescent="0.3">
      <c r="C41" t="s">
        <v>998</v>
      </c>
      <c r="F41">
        <v>27.5</v>
      </c>
    </row>
    <row r="42" spans="2:6" x14ac:dyDescent="0.3">
      <c r="C42" t="s">
        <v>997</v>
      </c>
      <c r="F42">
        <v>4400</v>
      </c>
    </row>
    <row r="43" spans="2:6" x14ac:dyDescent="0.3">
      <c r="C43" t="s">
        <v>996</v>
      </c>
    </row>
    <row r="45" spans="2:6" s="26" customFormat="1" x14ac:dyDescent="0.3">
      <c r="B45" s="26" t="s">
        <v>168</v>
      </c>
    </row>
    <row r="54" spans="2:2" s="26" customFormat="1" x14ac:dyDescent="0.3">
      <c r="B54" s="26" t="s">
        <v>155</v>
      </c>
    </row>
  </sheetData>
  <mergeCells count="3">
    <mergeCell ref="C10:F10"/>
    <mergeCell ref="C22:G22"/>
    <mergeCell ref="I22:M22"/>
  </mergeCell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8C2E9-3F7F-4954-A454-AAD72432A41F}">
  <sheetPr>
    <tabColor theme="9" tint="0.59999389629810485"/>
  </sheetPr>
  <dimension ref="A1:T81"/>
  <sheetViews>
    <sheetView workbookViewId="0">
      <selection activeCell="I63" sqref="I63"/>
    </sheetView>
  </sheetViews>
  <sheetFormatPr defaultRowHeight="14.4" x14ac:dyDescent="0.3"/>
  <cols>
    <col min="3" max="3" width="32.33203125" customWidth="1"/>
    <col min="9" max="9" width="31.5546875" customWidth="1"/>
    <col min="10" max="13" width="29.5546875" customWidth="1"/>
  </cols>
  <sheetData>
    <row r="1" spans="1:8" ht="15" thickBot="1" x14ac:dyDescent="0.35">
      <c r="A1" t="s">
        <v>1024</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t="s">
        <v>1023</v>
      </c>
    </row>
    <row r="14" spans="1:8" x14ac:dyDescent="0.3">
      <c r="C14">
        <v>0.04</v>
      </c>
      <c r="D14" t="s">
        <v>1012</v>
      </c>
      <c r="G14" t="s">
        <v>1011</v>
      </c>
    </row>
    <row r="15" spans="1:8" x14ac:dyDescent="0.3">
      <c r="C15">
        <v>0.05</v>
      </c>
      <c r="D15" t="s">
        <v>1010</v>
      </c>
      <c r="G15" t="s">
        <v>1009</v>
      </c>
    </row>
    <row r="16" spans="1:8" x14ac:dyDescent="0.3">
      <c r="C16">
        <v>0.03</v>
      </c>
      <c r="D16" t="s">
        <v>1008</v>
      </c>
      <c r="G16" t="s">
        <v>1007</v>
      </c>
    </row>
    <row r="17" spans="2:13" x14ac:dyDescent="0.3">
      <c r="C17">
        <v>0.02</v>
      </c>
      <c r="D17" t="s">
        <v>1006</v>
      </c>
      <c r="G17" t="s">
        <v>1005</v>
      </c>
    </row>
    <row r="18" spans="2:13" x14ac:dyDescent="0.3">
      <c r="C18">
        <v>0.05</v>
      </c>
      <c r="D18" t="s">
        <v>1004</v>
      </c>
      <c r="G18" t="s">
        <v>1003</v>
      </c>
    </row>
    <row r="19" spans="2:13" x14ac:dyDescent="0.3">
      <c r="C19">
        <v>0</v>
      </c>
      <c r="D19" t="s">
        <v>1002</v>
      </c>
      <c r="G19" t="s">
        <v>1001</v>
      </c>
    </row>
    <row r="21" spans="2:13" ht="15" thickBot="1" x14ac:dyDescent="0.35"/>
    <row r="22" spans="2:13" ht="15" thickBot="1" x14ac:dyDescent="0.35">
      <c r="C22" s="375" t="s">
        <v>4</v>
      </c>
      <c r="D22" s="376"/>
      <c r="E22" s="376"/>
      <c r="F22" s="376"/>
      <c r="G22" s="377"/>
      <c r="I22" s="375" t="s">
        <v>3</v>
      </c>
      <c r="J22" s="376"/>
      <c r="K22" s="376"/>
      <c r="L22" s="376"/>
      <c r="M22" s="377"/>
    </row>
    <row r="23" spans="2:13" s="26" customFormat="1" x14ac:dyDescent="0.3">
      <c r="B23" s="26" t="s">
        <v>175</v>
      </c>
    </row>
    <row r="24" spans="2:13" x14ac:dyDescent="0.3">
      <c r="D24" t="s">
        <v>1022</v>
      </c>
      <c r="E24" t="s">
        <v>1021</v>
      </c>
      <c r="F24" t="s">
        <v>1020</v>
      </c>
    </row>
    <row r="25" spans="2:13" x14ac:dyDescent="0.3">
      <c r="C25" t="s">
        <v>1019</v>
      </c>
      <c r="D25">
        <v>260</v>
      </c>
      <c r="E25">
        <v>180</v>
      </c>
      <c r="F25">
        <v>310</v>
      </c>
      <c r="J25" s="291"/>
      <c r="K25" s="14"/>
      <c r="L25" s="14"/>
      <c r="M25" s="14"/>
    </row>
    <row r="26" spans="2:13" x14ac:dyDescent="0.3">
      <c r="C26" t="s">
        <v>1018</v>
      </c>
      <c r="D26">
        <v>4160</v>
      </c>
      <c r="E26">
        <v>4100</v>
      </c>
      <c r="F26">
        <v>4312</v>
      </c>
      <c r="I26" s="26"/>
      <c r="J26" s="26" t="s">
        <v>1022</v>
      </c>
      <c r="K26" s="26" t="s">
        <v>1021</v>
      </c>
      <c r="L26" s="26" t="s">
        <v>1020</v>
      </c>
      <c r="M26" s="23" t="s">
        <v>247</v>
      </c>
    </row>
    <row r="27" spans="2:13" x14ac:dyDescent="0.3">
      <c r="C27" t="s">
        <v>1017</v>
      </c>
      <c r="D27">
        <v>10110</v>
      </c>
      <c r="E27">
        <v>10505</v>
      </c>
      <c r="F27">
        <v>14011</v>
      </c>
      <c r="I27" t="s">
        <v>1405</v>
      </c>
      <c r="J27" s="90">
        <f>D25*D26*12</f>
        <v>12979200</v>
      </c>
      <c r="K27" s="90">
        <f>E25*E26*12</f>
        <v>8856000</v>
      </c>
      <c r="L27" s="90">
        <f>F25*F26*12</f>
        <v>16040640</v>
      </c>
      <c r="M27" s="90">
        <f t="shared" ref="M27:M36" si="0">SUM(J27:L27)</f>
        <v>37875840</v>
      </c>
    </row>
    <row r="28" spans="2:13" x14ac:dyDescent="0.3">
      <c r="C28" t="s">
        <v>1016</v>
      </c>
      <c r="D28">
        <v>112</v>
      </c>
      <c r="E28">
        <v>541</v>
      </c>
      <c r="F28">
        <v>1232</v>
      </c>
      <c r="I28" t="s">
        <v>1404</v>
      </c>
      <c r="J28" s="151">
        <f>D29*1000</f>
        <v>875000</v>
      </c>
      <c r="K28" s="151">
        <f>E29*1000</f>
        <v>910000</v>
      </c>
      <c r="L28" s="151">
        <f>F29*1000</f>
        <v>1080000</v>
      </c>
      <c r="M28" s="90">
        <f t="shared" si="0"/>
        <v>2865000</v>
      </c>
    </row>
    <row r="29" spans="2:13" x14ac:dyDescent="0.3">
      <c r="C29" t="s">
        <v>1015</v>
      </c>
      <c r="D29">
        <v>875</v>
      </c>
      <c r="E29">
        <v>910</v>
      </c>
      <c r="F29">
        <v>1080</v>
      </c>
      <c r="I29" t="s">
        <v>1403</v>
      </c>
      <c r="J29" s="90">
        <f>J27-J28</f>
        <v>12104200</v>
      </c>
      <c r="K29" s="90">
        <f>K27-K28</f>
        <v>7946000</v>
      </c>
      <c r="L29" s="90">
        <f>L27-L28</f>
        <v>14960640</v>
      </c>
      <c r="M29" s="90">
        <f t="shared" si="0"/>
        <v>35010840</v>
      </c>
    </row>
    <row r="30" spans="2:13" x14ac:dyDescent="0.3">
      <c r="C30" t="s">
        <v>1014</v>
      </c>
      <c r="D30">
        <v>370</v>
      </c>
      <c r="E30">
        <v>460</v>
      </c>
      <c r="F30">
        <v>680</v>
      </c>
      <c r="I30" t="s">
        <v>1402</v>
      </c>
      <c r="J30" s="90">
        <f>D27*1000</f>
        <v>10110000</v>
      </c>
      <c r="K30" s="90">
        <f>E27*1000</f>
        <v>10505000</v>
      </c>
      <c r="L30" s="90">
        <f>F27*1000</f>
        <v>14011000</v>
      </c>
      <c r="M30" s="90">
        <f t="shared" si="0"/>
        <v>34626000</v>
      </c>
    </row>
    <row r="31" spans="2:13" x14ac:dyDescent="0.3">
      <c r="C31" t="s">
        <v>1013</v>
      </c>
      <c r="D31">
        <f>1/14</f>
        <v>7.1428571428571425E-2</v>
      </c>
      <c r="E31">
        <f>4/14</f>
        <v>0.2857142857142857</v>
      </c>
      <c r="F31">
        <f>9/14</f>
        <v>0.6428571428571429</v>
      </c>
      <c r="I31" t="s">
        <v>1401</v>
      </c>
      <c r="J31" s="151">
        <f>D30*1000</f>
        <v>370000</v>
      </c>
      <c r="K31" s="151">
        <f>E30*1000</f>
        <v>460000</v>
      </c>
      <c r="L31" s="151">
        <f>F30*1000</f>
        <v>680000</v>
      </c>
      <c r="M31" s="90">
        <f t="shared" si="0"/>
        <v>1510000</v>
      </c>
    </row>
    <row r="32" spans="2:13" x14ac:dyDescent="0.3">
      <c r="I32" t="s">
        <v>1400</v>
      </c>
      <c r="J32" s="90">
        <f>J30-J31</f>
        <v>9740000</v>
      </c>
      <c r="K32" s="90">
        <f>K30-K31</f>
        <v>10045000</v>
      </c>
      <c r="L32" s="90">
        <f>L30-L31</f>
        <v>13331000</v>
      </c>
      <c r="M32" s="90">
        <f t="shared" si="0"/>
        <v>33116000</v>
      </c>
    </row>
    <row r="33" spans="2:13" x14ac:dyDescent="0.3">
      <c r="C33" t="s">
        <v>1012</v>
      </c>
      <c r="F33" t="s">
        <v>1011</v>
      </c>
      <c r="I33" t="s">
        <v>1399</v>
      </c>
      <c r="J33" s="151">
        <f>D28*1000-0</f>
        <v>112000</v>
      </c>
      <c r="K33" s="151">
        <f>(E28-D28)*1000</f>
        <v>429000</v>
      </c>
      <c r="L33" s="151">
        <f>(F28-E28)*1000</f>
        <v>691000</v>
      </c>
      <c r="M33" s="90">
        <f t="shared" si="0"/>
        <v>1232000</v>
      </c>
    </row>
    <row r="34" spans="2:13" x14ac:dyDescent="0.3">
      <c r="C34" t="s">
        <v>1010</v>
      </c>
      <c r="F34" t="s">
        <v>1009</v>
      </c>
      <c r="I34" t="s">
        <v>1398</v>
      </c>
      <c r="J34" s="90">
        <f>J32+J33</f>
        <v>9852000</v>
      </c>
      <c r="K34" s="90">
        <f>K32+K33</f>
        <v>10474000</v>
      </c>
      <c r="L34" s="90">
        <f>L32+L33</f>
        <v>14022000</v>
      </c>
      <c r="M34" s="90">
        <f t="shared" si="0"/>
        <v>34348000</v>
      </c>
    </row>
    <row r="35" spans="2:13" x14ac:dyDescent="0.3">
      <c r="C35" t="s">
        <v>1008</v>
      </c>
      <c r="F35" t="s">
        <v>1007</v>
      </c>
      <c r="I35" t="s">
        <v>1397</v>
      </c>
      <c r="J35" s="90">
        <f>J27*SUM($C$14:$C$17)</f>
        <v>1817087.9999999998</v>
      </c>
      <c r="K35" s="90">
        <f>K27*SUM($C$14:$C$17)</f>
        <v>1239839.9999999998</v>
      </c>
      <c r="L35" s="90">
        <f>L27*SUM($C$14:$C$17)</f>
        <v>2245689.5999999996</v>
      </c>
      <c r="M35" s="90">
        <f t="shared" si="0"/>
        <v>5302617.5999999996</v>
      </c>
    </row>
    <row r="36" spans="2:13" x14ac:dyDescent="0.3">
      <c r="C36" t="s">
        <v>1006</v>
      </c>
      <c r="F36" t="s">
        <v>1005</v>
      </c>
      <c r="I36" t="s">
        <v>1396</v>
      </c>
      <c r="J36" s="90">
        <f>J29-J34-J35</f>
        <v>435112.00000000023</v>
      </c>
      <c r="K36" s="90">
        <f>K29-K34-K35</f>
        <v>-3767840</v>
      </c>
      <c r="L36" s="90">
        <f>L29-L34-L35</f>
        <v>-1307049.5999999996</v>
      </c>
      <c r="M36" s="284">
        <f t="shared" si="0"/>
        <v>-4639777.5999999996</v>
      </c>
    </row>
    <row r="37" spans="2:13" x14ac:dyDescent="0.3">
      <c r="C37" t="s">
        <v>1004</v>
      </c>
      <c r="F37" t="s">
        <v>1003</v>
      </c>
    </row>
    <row r="38" spans="2:13" x14ac:dyDescent="0.3">
      <c r="C38" t="s">
        <v>1002</v>
      </c>
      <c r="F38" t="s">
        <v>1001</v>
      </c>
    </row>
    <row r="39" spans="2:13" x14ac:dyDescent="0.3">
      <c r="C39" t="s">
        <v>1000</v>
      </c>
      <c r="F39">
        <v>325</v>
      </c>
    </row>
    <row r="40" spans="2:13" x14ac:dyDescent="0.3">
      <c r="C40" t="s">
        <v>999</v>
      </c>
      <c r="F40">
        <v>24.75</v>
      </c>
    </row>
    <row r="41" spans="2:13" x14ac:dyDescent="0.3">
      <c r="C41" t="s">
        <v>998</v>
      </c>
      <c r="F41">
        <v>27.5</v>
      </c>
    </row>
    <row r="42" spans="2:13" x14ac:dyDescent="0.3">
      <c r="C42" t="s">
        <v>997</v>
      </c>
      <c r="F42">
        <v>4400</v>
      </c>
    </row>
    <row r="43" spans="2:13" x14ac:dyDescent="0.3">
      <c r="C43" t="s">
        <v>996</v>
      </c>
    </row>
    <row r="45" spans="2:13" s="26" customFormat="1" x14ac:dyDescent="0.3">
      <c r="B45" s="26" t="s">
        <v>168</v>
      </c>
    </row>
    <row r="47" spans="2:13" x14ac:dyDescent="0.3">
      <c r="I47" t="s">
        <v>1395</v>
      </c>
      <c r="J47" s="26" t="s">
        <v>1022</v>
      </c>
      <c r="K47" s="26" t="s">
        <v>1021</v>
      </c>
      <c r="L47" s="26" t="s">
        <v>1020</v>
      </c>
      <c r="M47" s="23" t="s">
        <v>247</v>
      </c>
    </row>
    <row r="48" spans="2:13" x14ac:dyDescent="0.3">
      <c r="I48" t="s">
        <v>1297</v>
      </c>
      <c r="J48" s="90">
        <f>J27</f>
        <v>12979200</v>
      </c>
      <c r="K48" s="90">
        <f>K27</f>
        <v>8856000</v>
      </c>
      <c r="L48" s="90">
        <f>L27</f>
        <v>16040640</v>
      </c>
      <c r="M48" s="90">
        <f>SUM(J48:L48)</f>
        <v>37875840</v>
      </c>
    </row>
    <row r="49" spans="2:14" x14ac:dyDescent="0.3">
      <c r="I49" t="s">
        <v>647</v>
      </c>
      <c r="J49" s="151">
        <f>J30+J33</f>
        <v>10222000</v>
      </c>
      <c r="K49" s="151">
        <f>K30+K33</f>
        <v>10934000</v>
      </c>
      <c r="L49" s="151">
        <f>L30+L33</f>
        <v>14702000</v>
      </c>
      <c r="M49" s="90">
        <f>SUM(J49:L49)</f>
        <v>35858000</v>
      </c>
    </row>
    <row r="50" spans="2:14" x14ac:dyDescent="0.3">
      <c r="I50" t="s">
        <v>1394</v>
      </c>
      <c r="J50" s="90">
        <f>J48*SUM($C$14:$C$16)</f>
        <v>1557504</v>
      </c>
      <c r="K50" s="90">
        <f>K48*SUM($C$14:$C$16)</f>
        <v>1062720</v>
      </c>
      <c r="L50" s="90">
        <f>L48*SUM($C$14:$C$16)</f>
        <v>1924876.7999999998</v>
      </c>
      <c r="M50" s="90">
        <f>SUM(J50:L50)</f>
        <v>4545100.8</v>
      </c>
    </row>
    <row r="51" spans="2:14" x14ac:dyDescent="0.3">
      <c r="I51" t="s">
        <v>1393</v>
      </c>
      <c r="J51" s="151">
        <f>J48-J49-J50</f>
        <v>1199696</v>
      </c>
      <c r="K51" s="151">
        <f>K48-K49-K50</f>
        <v>-3140720</v>
      </c>
      <c r="L51" s="151">
        <f>L48-L49-L50</f>
        <v>-586236.79999999981</v>
      </c>
      <c r="M51" s="284">
        <f>SUM(J51:L51)</f>
        <v>-2527260.7999999998</v>
      </c>
    </row>
    <row r="54" spans="2:14" s="26" customFormat="1" x14ac:dyDescent="0.3">
      <c r="B54" s="26" t="s">
        <v>155</v>
      </c>
    </row>
    <row r="58" spans="2:14" x14ac:dyDescent="0.3">
      <c r="J58" s="281" t="s">
        <v>1392</v>
      </c>
      <c r="K58" s="281" t="s">
        <v>1391</v>
      </c>
      <c r="L58" s="281" t="s">
        <v>1390</v>
      </c>
      <c r="M58" t="s">
        <v>247</v>
      </c>
      <c r="N58" t="s">
        <v>1389</v>
      </c>
    </row>
    <row r="59" spans="2:14" x14ac:dyDescent="0.3">
      <c r="H59" t="s">
        <v>74</v>
      </c>
      <c r="I59" t="s">
        <v>275</v>
      </c>
      <c r="J59" s="90">
        <f>D26</f>
        <v>4160</v>
      </c>
      <c r="K59" s="90">
        <f>E26</f>
        <v>4100</v>
      </c>
      <c r="L59" s="90">
        <f>F26</f>
        <v>4312</v>
      </c>
      <c r="M59" s="4">
        <f t="shared" ref="M59:M64" si="1">SUM(J59:L59)</f>
        <v>12572</v>
      </c>
      <c r="N59" t="s">
        <v>634</v>
      </c>
    </row>
    <row r="60" spans="2:14" x14ac:dyDescent="0.3">
      <c r="H60" t="s">
        <v>73</v>
      </c>
      <c r="I60" t="s">
        <v>1388</v>
      </c>
      <c r="J60" s="4">
        <f t="shared" ref="J60:L61" si="2">J27</f>
        <v>12979200</v>
      </c>
      <c r="K60" s="4">
        <f t="shared" si="2"/>
        <v>8856000</v>
      </c>
      <c r="L60" s="4">
        <f t="shared" si="2"/>
        <v>16040640</v>
      </c>
      <c r="M60" s="4">
        <f t="shared" si="1"/>
        <v>37875840</v>
      </c>
      <c r="N60" t="s">
        <v>634</v>
      </c>
    </row>
    <row r="61" spans="2:14" x14ac:dyDescent="0.3">
      <c r="H61" t="s">
        <v>72</v>
      </c>
      <c r="I61" t="s">
        <v>1387</v>
      </c>
      <c r="J61" s="151">
        <f t="shared" si="2"/>
        <v>875000</v>
      </c>
      <c r="K61" s="151">
        <f t="shared" si="2"/>
        <v>910000</v>
      </c>
      <c r="L61" s="151">
        <f t="shared" si="2"/>
        <v>1080000</v>
      </c>
      <c r="M61" s="4">
        <f t="shared" si="1"/>
        <v>2865000</v>
      </c>
      <c r="N61" t="s">
        <v>634</v>
      </c>
    </row>
    <row r="62" spans="2:14" x14ac:dyDescent="0.3">
      <c r="H62" t="s">
        <v>71</v>
      </c>
      <c r="I62" t="s">
        <v>1386</v>
      </c>
      <c r="J62" s="56">
        <f>J60/(J59*12)</f>
        <v>260</v>
      </c>
      <c r="K62" s="56">
        <f>K60/(K59*12)</f>
        <v>180</v>
      </c>
      <c r="L62" s="56">
        <f>L60/(L59*12)</f>
        <v>310</v>
      </c>
      <c r="M62" s="4">
        <f t="shared" si="1"/>
        <v>750</v>
      </c>
      <c r="N62" t="s">
        <v>634</v>
      </c>
    </row>
    <row r="63" spans="2:14" x14ac:dyDescent="0.3">
      <c r="H63" t="s">
        <v>70</v>
      </c>
      <c r="I63" t="s">
        <v>1385</v>
      </c>
      <c r="J63" s="56">
        <f>J28/(J59*12)</f>
        <v>17.528044871794872</v>
      </c>
      <c r="K63" s="56">
        <f>K28/(K59*12)</f>
        <v>18.495934959349594</v>
      </c>
      <c r="L63" s="56">
        <f>L28/(L59*12)</f>
        <v>20.871985157699445</v>
      </c>
      <c r="M63" s="4">
        <f t="shared" si="1"/>
        <v>56.895964988843915</v>
      </c>
      <c r="N63" s="183" t="s">
        <v>1384</v>
      </c>
    </row>
    <row r="64" spans="2:14" x14ac:dyDescent="0.3">
      <c r="H64" t="s">
        <v>69</v>
      </c>
      <c r="I64" t="s">
        <v>1383</v>
      </c>
      <c r="J64" s="56">
        <f>J62-J63</f>
        <v>242.47195512820514</v>
      </c>
      <c r="K64" s="56">
        <f>K62-K63</f>
        <v>161.5040650406504</v>
      </c>
      <c r="L64" s="56">
        <f>L62-L63</f>
        <v>289.12801484230056</v>
      </c>
      <c r="M64" s="4">
        <f t="shared" si="1"/>
        <v>693.10403501115616</v>
      </c>
      <c r="N64" s="183" t="s">
        <v>1382</v>
      </c>
    </row>
    <row r="65" spans="8:20" x14ac:dyDescent="0.3">
      <c r="H65" t="s">
        <v>1381</v>
      </c>
      <c r="I65" t="s">
        <v>1380</v>
      </c>
      <c r="J65" s="290">
        <f>($F$39-$F$40)/J64</f>
        <v>1.2382875365575585</v>
      </c>
      <c r="K65" s="290">
        <f>($F$39-$F$40)/K64</f>
        <v>1.8590863327460359</v>
      </c>
      <c r="L65" s="290">
        <f>($F$39-$F$40)/L64</f>
        <v>1.0384673382956879</v>
      </c>
      <c r="M65" s="4"/>
      <c r="N65" s="183" t="s">
        <v>1379</v>
      </c>
    </row>
    <row r="66" spans="8:20" x14ac:dyDescent="0.3">
      <c r="H66" t="s">
        <v>1378</v>
      </c>
      <c r="I66" t="s">
        <v>1377</v>
      </c>
      <c r="J66" s="4">
        <f>(J60-J61)*J65</f>
        <v>14988480</v>
      </c>
      <c r="K66" s="4">
        <f>(K60-K61)*K65</f>
        <v>14772300</v>
      </c>
      <c r="L66" s="4">
        <f>(L60-L61)*L65</f>
        <v>15536136</v>
      </c>
      <c r="M66" s="4">
        <f>SUM(J66:L66)</f>
        <v>45296916</v>
      </c>
      <c r="N66" s="183" t="s">
        <v>1376</v>
      </c>
    </row>
    <row r="67" spans="8:20" x14ac:dyDescent="0.3">
      <c r="H67" t="s">
        <v>1375</v>
      </c>
      <c r="I67" t="s">
        <v>273</v>
      </c>
      <c r="J67" s="4">
        <f>J34</f>
        <v>9852000</v>
      </c>
      <c r="K67" s="4">
        <f>K34</f>
        <v>10474000</v>
      </c>
      <c r="L67" s="4">
        <f>L34</f>
        <v>14022000</v>
      </c>
      <c r="M67" s="4">
        <f>SUM(J67:L67)</f>
        <v>34348000</v>
      </c>
      <c r="N67" t="s">
        <v>1374</v>
      </c>
    </row>
    <row r="68" spans="8:20" x14ac:dyDescent="0.3">
      <c r="H68" t="s">
        <v>1373</v>
      </c>
      <c r="I68" t="s">
        <v>1372</v>
      </c>
      <c r="J68">
        <f>2020-2016</f>
        <v>4</v>
      </c>
      <c r="K68">
        <f>J68-1</f>
        <v>3</v>
      </c>
      <c r="L68">
        <f>K68-1</f>
        <v>2</v>
      </c>
      <c r="N68" t="s">
        <v>1371</v>
      </c>
    </row>
    <row r="69" spans="8:20" x14ac:dyDescent="0.3">
      <c r="H69" t="s">
        <v>1370</v>
      </c>
      <c r="I69" t="s">
        <v>1369</v>
      </c>
      <c r="J69" s="4">
        <f>J67*(1+$C$18)^J68</f>
        <v>11975167.574999999</v>
      </c>
      <c r="K69" s="4">
        <f>K67*(1+$C$18)^K68</f>
        <v>12124964.250000002</v>
      </c>
      <c r="L69" s="4">
        <f>L67*(1+$C$18)^L68</f>
        <v>15459255</v>
      </c>
      <c r="M69" s="4">
        <f>SUM(J69:L69)</f>
        <v>39559386.825000003</v>
      </c>
      <c r="N69" s="183" t="s">
        <v>1368</v>
      </c>
    </row>
    <row r="70" spans="8:20" x14ac:dyDescent="0.3">
      <c r="H70" t="s">
        <v>1367</v>
      </c>
      <c r="I70" t="s">
        <v>272</v>
      </c>
      <c r="J70" s="144">
        <f>J69/J66</f>
        <v>0.79895810482450513</v>
      </c>
      <c r="K70" s="144">
        <f>K69/K66</f>
        <v>0.82079055055746242</v>
      </c>
      <c r="L70" s="144">
        <f>L69/L66</f>
        <v>0.99505147225796686</v>
      </c>
      <c r="M70" s="144">
        <f>M69/M66</f>
        <v>0.87333510354214849</v>
      </c>
      <c r="N70" s="183" t="s">
        <v>1366</v>
      </c>
    </row>
    <row r="71" spans="8:20" x14ac:dyDescent="0.3">
      <c r="H71" t="s">
        <v>1365</v>
      </c>
      <c r="I71" t="s">
        <v>1364</v>
      </c>
      <c r="J71" s="144">
        <f>D31</f>
        <v>7.1428571428571425E-2</v>
      </c>
      <c r="K71" s="144">
        <f>E31</f>
        <v>0.2857142857142857</v>
      </c>
      <c r="L71" s="144">
        <f>F31</f>
        <v>0.6428571428571429</v>
      </c>
      <c r="N71" t="s">
        <v>634</v>
      </c>
    </row>
    <row r="73" spans="8:20" x14ac:dyDescent="0.3">
      <c r="I73" t="s">
        <v>1363</v>
      </c>
      <c r="L73" s="57">
        <f>SUMPRODUCT(J71:L71,J70:L70)</f>
        <v>0.93125596838400404</v>
      </c>
      <c r="M73" s="9" t="s">
        <v>1362</v>
      </c>
      <c r="N73" s="9"/>
      <c r="O73" s="9"/>
      <c r="P73" s="9"/>
      <c r="Q73" s="9"/>
      <c r="R73" s="9"/>
      <c r="S73" s="9"/>
      <c r="T73" s="9"/>
    </row>
    <row r="74" spans="8:20" x14ac:dyDescent="0.3">
      <c r="I74" t="s">
        <v>1361</v>
      </c>
      <c r="J74">
        <f>1-SUM(C14:C17)</f>
        <v>0.86</v>
      </c>
      <c r="L74" s="86">
        <f>J74</f>
        <v>0.86</v>
      </c>
      <c r="M74" s="9" t="s">
        <v>1360</v>
      </c>
      <c r="N74" s="9"/>
      <c r="O74" s="9"/>
      <c r="P74" s="9"/>
      <c r="Q74" s="9"/>
      <c r="R74" s="9"/>
      <c r="S74" s="9"/>
      <c r="T74" s="9"/>
    </row>
    <row r="75" spans="8:20" x14ac:dyDescent="0.3">
      <c r="I75" t="s">
        <v>1359</v>
      </c>
      <c r="L75" s="57">
        <f>L73/L74-1</f>
        <v>8.2855777190702362E-2</v>
      </c>
      <c r="M75" s="9" t="s">
        <v>1358</v>
      </c>
      <c r="N75" s="9"/>
      <c r="O75" s="9"/>
      <c r="P75" s="9"/>
      <c r="Q75" s="9"/>
      <c r="R75" s="9"/>
      <c r="S75" s="9"/>
      <c r="T75" s="9"/>
    </row>
    <row r="77" spans="8:20" x14ac:dyDescent="0.3">
      <c r="L77" t="s">
        <v>1357</v>
      </c>
      <c r="M77" t="s">
        <v>1356</v>
      </c>
    </row>
    <row r="78" spans="8:20" x14ac:dyDescent="0.3">
      <c r="I78" t="s">
        <v>1355</v>
      </c>
      <c r="L78" s="56">
        <f>(1+L75)*(F39-F40)</f>
        <v>325.12744710150838</v>
      </c>
      <c r="M78" t="s">
        <v>1354</v>
      </c>
    </row>
    <row r="79" spans="8:20" x14ac:dyDescent="0.3">
      <c r="I79" t="s">
        <v>1353</v>
      </c>
      <c r="L79" s="56">
        <f>-M36/(F42*12*2)</f>
        <v>43.937287878787878</v>
      </c>
      <c r="M79" t="s">
        <v>1352</v>
      </c>
    </row>
    <row r="80" spans="8:20" x14ac:dyDescent="0.3">
      <c r="I80" t="s">
        <v>1351</v>
      </c>
      <c r="L80" s="56">
        <f>F41</f>
        <v>27.5</v>
      </c>
      <c r="M80" t="s">
        <v>634</v>
      </c>
    </row>
    <row r="81" spans="9:13" x14ac:dyDescent="0.3">
      <c r="I81" t="s">
        <v>1168</v>
      </c>
      <c r="L81" s="5">
        <f>SUM(L78:L80)</f>
        <v>396.56473498029624</v>
      </c>
      <c r="M81" t="s">
        <v>1350</v>
      </c>
    </row>
  </sheetData>
  <mergeCells count="3">
    <mergeCell ref="C10:F10"/>
    <mergeCell ref="C22:G22"/>
    <mergeCell ref="I22:M22"/>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63B3F-88B9-450E-B308-D65211152A27}">
  <sheetPr>
    <tabColor theme="5" tint="0.39997558519241921"/>
  </sheetPr>
  <dimension ref="A1:M77"/>
  <sheetViews>
    <sheetView workbookViewId="0">
      <selection activeCell="Q46" sqref="Q46"/>
    </sheetView>
  </sheetViews>
  <sheetFormatPr defaultRowHeight="14.4" x14ac:dyDescent="0.3"/>
  <cols>
    <col min="3" max="3" width="12.33203125" customWidth="1"/>
    <col min="5" max="5" width="12.109375" bestFit="1" customWidth="1"/>
    <col min="9" max="9" width="11.33203125" customWidth="1"/>
    <col min="10" max="10" width="15.6640625" customWidth="1"/>
    <col min="11" max="12" width="8.6640625" customWidth="1"/>
    <col min="14" max="14" width="8.6640625" customWidth="1"/>
  </cols>
  <sheetData>
    <row r="1" spans="1:13" ht="15" thickBot="1" x14ac:dyDescent="0.35">
      <c r="A1" t="s">
        <v>1059</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2" spans="1:13" ht="15" thickBot="1" x14ac:dyDescent="0.35"/>
    <row r="13" spans="1:13" ht="15" thickBot="1" x14ac:dyDescent="0.35">
      <c r="C13" s="375" t="s">
        <v>4</v>
      </c>
      <c r="D13" s="376"/>
      <c r="E13" s="376"/>
      <c r="F13" s="376"/>
      <c r="G13" s="377"/>
      <c r="I13" s="375" t="s">
        <v>3</v>
      </c>
      <c r="J13" s="376"/>
      <c r="K13" s="376"/>
      <c r="L13" s="376"/>
      <c r="M13" s="377"/>
    </row>
    <row r="14" spans="1:13" s="26" customFormat="1" x14ac:dyDescent="0.3">
      <c r="A14" s="26" t="s">
        <v>54</v>
      </c>
    </row>
    <row r="15" spans="1:13" x14ac:dyDescent="0.3">
      <c r="D15" s="84" t="s">
        <v>1058</v>
      </c>
      <c r="E15" s="260">
        <v>300</v>
      </c>
    </row>
    <row r="16" spans="1:13" x14ac:dyDescent="0.3">
      <c r="D16" s="84" t="s">
        <v>1057</v>
      </c>
      <c r="E16">
        <v>0.85</v>
      </c>
    </row>
    <row r="17" spans="1:6" x14ac:dyDescent="0.3">
      <c r="D17" s="84" t="s">
        <v>1056</v>
      </c>
      <c r="E17">
        <v>0.9</v>
      </c>
    </row>
    <row r="18" spans="1:6" x14ac:dyDescent="0.3">
      <c r="D18" s="84" t="s">
        <v>1055</v>
      </c>
      <c r="E18">
        <v>1</v>
      </c>
    </row>
    <row r="19" spans="1:6" x14ac:dyDescent="0.3">
      <c r="D19" s="84" t="s">
        <v>1054</v>
      </c>
      <c r="E19">
        <v>0.87</v>
      </c>
    </row>
    <row r="20" spans="1:6" x14ac:dyDescent="0.3">
      <c r="D20" s="84" t="s">
        <v>1053</v>
      </c>
      <c r="E20" s="260">
        <v>75</v>
      </c>
    </row>
    <row r="27" spans="1:6" s="26" customFormat="1" x14ac:dyDescent="0.3">
      <c r="A27" s="26" t="s">
        <v>27</v>
      </c>
    </row>
    <row r="28" spans="1:6" ht="15" thickBot="1" x14ac:dyDescent="0.35"/>
    <row r="29" spans="1:6" ht="15" thickBot="1" x14ac:dyDescent="0.35">
      <c r="C29" s="375" t="s">
        <v>8</v>
      </c>
      <c r="D29" s="376"/>
      <c r="E29" s="376"/>
      <c r="F29" s="377"/>
    </row>
    <row r="31" spans="1:6" x14ac:dyDescent="0.3">
      <c r="C31" s="260">
        <v>500</v>
      </c>
      <c r="D31" t="s">
        <v>1052</v>
      </c>
    </row>
    <row r="32" spans="1:6" x14ac:dyDescent="0.3">
      <c r="C32" s="260">
        <v>400</v>
      </c>
      <c r="D32" t="s">
        <v>1051</v>
      </c>
    </row>
    <row r="33" spans="3:13" x14ac:dyDescent="0.3">
      <c r="C33" s="261">
        <v>25000</v>
      </c>
      <c r="D33" t="s">
        <v>1050</v>
      </c>
    </row>
    <row r="34" spans="3:13" x14ac:dyDescent="0.3">
      <c r="C34">
        <v>1.2</v>
      </c>
      <c r="D34" t="s">
        <v>1049</v>
      </c>
    </row>
    <row r="35" spans="3:13" ht="15" thickBot="1" x14ac:dyDescent="0.35"/>
    <row r="36" spans="3:13" ht="15" thickBot="1" x14ac:dyDescent="0.35">
      <c r="C36" s="375" t="s">
        <v>4</v>
      </c>
      <c r="D36" s="376"/>
      <c r="E36" s="376"/>
      <c r="F36" s="376"/>
      <c r="G36" s="377"/>
      <c r="I36" s="375" t="s">
        <v>3</v>
      </c>
      <c r="J36" s="376"/>
      <c r="K36" s="376"/>
      <c r="L36" s="376"/>
      <c r="M36" s="377"/>
    </row>
    <row r="39" spans="3:13" x14ac:dyDescent="0.3">
      <c r="E39" t="s">
        <v>606</v>
      </c>
    </row>
    <row r="40" spans="3:13" x14ac:dyDescent="0.3">
      <c r="D40" s="84" t="s">
        <v>1048</v>
      </c>
      <c r="E40" s="260">
        <f>C31</f>
        <v>500</v>
      </c>
    </row>
    <row r="41" spans="3:13" x14ac:dyDescent="0.3">
      <c r="D41" s="84" t="s">
        <v>1047</v>
      </c>
      <c r="E41" s="260">
        <f>C32</f>
        <v>400</v>
      </c>
    </row>
    <row r="42" spans="3:13" x14ac:dyDescent="0.3">
      <c r="D42" s="84"/>
    </row>
    <row r="43" spans="3:13" x14ac:dyDescent="0.3">
      <c r="D43" s="84" t="s">
        <v>1046</v>
      </c>
      <c r="E43" s="109">
        <v>100</v>
      </c>
    </row>
    <row r="44" spans="3:13" x14ac:dyDescent="0.3">
      <c r="D44" s="84" t="s">
        <v>1045</v>
      </c>
      <c r="E44" s="109">
        <v>55</v>
      </c>
    </row>
    <row r="45" spans="3:13" x14ac:dyDescent="0.3">
      <c r="D45" s="84"/>
    </row>
    <row r="46" spans="3:13" x14ac:dyDescent="0.3">
      <c r="D46" s="84" t="s">
        <v>1044</v>
      </c>
      <c r="E46">
        <v>48</v>
      </c>
    </row>
    <row r="47" spans="3:13" x14ac:dyDescent="0.3">
      <c r="D47" s="84" t="s">
        <v>1043</v>
      </c>
      <c r="E47">
        <v>96</v>
      </c>
    </row>
    <row r="49" spans="1:13" s="26" customFormat="1" x14ac:dyDescent="0.3">
      <c r="A49" s="26" t="s">
        <v>18</v>
      </c>
    </row>
    <row r="50" spans="1:13" ht="15" thickBot="1" x14ac:dyDescent="0.35"/>
    <row r="51" spans="1:13" ht="15" thickBot="1" x14ac:dyDescent="0.35">
      <c r="C51" s="375" t="s">
        <v>4</v>
      </c>
      <c r="D51" s="376"/>
      <c r="E51" s="376"/>
      <c r="F51" s="376"/>
      <c r="G51" s="377"/>
      <c r="I51" s="375" t="s">
        <v>3</v>
      </c>
      <c r="J51" s="376"/>
      <c r="K51" s="376"/>
      <c r="L51" s="376"/>
      <c r="M51" s="377"/>
    </row>
    <row r="54" spans="1:13" x14ac:dyDescent="0.3">
      <c r="D54" t="s">
        <v>1042</v>
      </c>
    </row>
    <row r="55" spans="1:13" x14ac:dyDescent="0.3">
      <c r="C55" t="s">
        <v>1041</v>
      </c>
      <c r="D55" s="4">
        <v>3000</v>
      </c>
    </row>
    <row r="56" spans="1:13" x14ac:dyDescent="0.3">
      <c r="C56" t="s">
        <v>1040</v>
      </c>
      <c r="D56" s="4">
        <v>250000</v>
      </c>
    </row>
    <row r="57" spans="1:13" x14ac:dyDescent="0.3">
      <c r="C57" t="s">
        <v>1039</v>
      </c>
      <c r="D57" s="4">
        <v>50000</v>
      </c>
    </row>
    <row r="58" spans="1:13" x14ac:dyDescent="0.3">
      <c r="C58" t="s">
        <v>1038</v>
      </c>
      <c r="D58" s="4">
        <v>50000</v>
      </c>
    </row>
    <row r="59" spans="1:13" x14ac:dyDescent="0.3">
      <c r="C59" t="s">
        <v>1037</v>
      </c>
      <c r="D59" s="4">
        <v>45000</v>
      </c>
    </row>
    <row r="60" spans="1:13" x14ac:dyDescent="0.3">
      <c r="C60" t="s">
        <v>1036</v>
      </c>
      <c r="D60" s="4">
        <v>20000</v>
      </c>
    </row>
    <row r="61" spans="1:13" x14ac:dyDescent="0.3">
      <c r="C61" t="s">
        <v>1035</v>
      </c>
      <c r="D61" s="4">
        <v>50000</v>
      </c>
    </row>
    <row r="62" spans="1:13" x14ac:dyDescent="0.3">
      <c r="C62" t="s">
        <v>1034</v>
      </c>
      <c r="D62" s="4">
        <v>50000</v>
      </c>
    </row>
    <row r="63" spans="1:13" x14ac:dyDescent="0.3">
      <c r="C63" t="s">
        <v>1033</v>
      </c>
      <c r="D63" s="4">
        <v>60000</v>
      </c>
    </row>
    <row r="64" spans="1:13" x14ac:dyDescent="0.3">
      <c r="C64" t="s">
        <v>1032</v>
      </c>
      <c r="D64" s="4">
        <v>25000</v>
      </c>
    </row>
    <row r="65" spans="3:9" x14ac:dyDescent="0.3">
      <c r="C65" t="s">
        <v>1031</v>
      </c>
      <c r="D65" s="4">
        <v>60000</v>
      </c>
    </row>
    <row r="66" spans="3:9" x14ac:dyDescent="0.3">
      <c r="C66" t="s">
        <v>1030</v>
      </c>
      <c r="D66" s="4">
        <v>70000</v>
      </c>
    </row>
    <row r="67" spans="3:9" x14ac:dyDescent="0.3">
      <c r="C67" t="s">
        <v>247</v>
      </c>
      <c r="D67" s="4">
        <v>733000</v>
      </c>
    </row>
    <row r="70" spans="3:9" x14ac:dyDescent="0.3">
      <c r="C70" t="s">
        <v>1029</v>
      </c>
    </row>
    <row r="71" spans="3:9" x14ac:dyDescent="0.3">
      <c r="D71" t="s">
        <v>1028</v>
      </c>
    </row>
    <row r="72" spans="3:9" x14ac:dyDescent="0.3">
      <c r="C72" s="84" t="s">
        <v>1027</v>
      </c>
      <c r="D72" s="4">
        <v>450000</v>
      </c>
    </row>
    <row r="73" spans="3:9" x14ac:dyDescent="0.3">
      <c r="C73" s="84" t="s">
        <v>1026</v>
      </c>
      <c r="D73" s="4">
        <v>75000</v>
      </c>
    </row>
    <row r="74" spans="3:9" x14ac:dyDescent="0.3">
      <c r="C74" s="84" t="s">
        <v>1025</v>
      </c>
      <c r="D74" s="4">
        <v>0</v>
      </c>
    </row>
    <row r="75" spans="3:9" x14ac:dyDescent="0.3">
      <c r="I75" s="109"/>
    </row>
    <row r="77" spans="3:9" x14ac:dyDescent="0.3">
      <c r="I77" s="109"/>
    </row>
  </sheetData>
  <mergeCells count="8">
    <mergeCell ref="C51:G51"/>
    <mergeCell ref="I51:M51"/>
    <mergeCell ref="C10:F10"/>
    <mergeCell ref="C13:G13"/>
    <mergeCell ref="I13:M13"/>
    <mergeCell ref="C29:F29"/>
    <mergeCell ref="C36:G36"/>
    <mergeCell ref="I36:M3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B9997-D9FB-498A-89B7-2C03D053D9D5}">
  <sheetPr>
    <tabColor theme="5" tint="0.39997558519241921"/>
  </sheetPr>
  <dimension ref="A1:M49"/>
  <sheetViews>
    <sheetView workbookViewId="0">
      <selection activeCell="B5" sqref="B5"/>
    </sheetView>
  </sheetViews>
  <sheetFormatPr defaultRowHeight="14.4" x14ac:dyDescent="0.3"/>
  <cols>
    <col min="3" max="3" width="15.88671875" customWidth="1"/>
    <col min="4" max="4" width="18.6640625" bestFit="1" customWidth="1"/>
    <col min="11" max="12" width="9.44140625" bestFit="1" customWidth="1"/>
  </cols>
  <sheetData>
    <row r="1" spans="1:8" ht="15" thickBot="1" x14ac:dyDescent="0.35">
      <c r="A1" t="s">
        <v>37</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s="56">
        <v>0</v>
      </c>
      <c r="D12" t="s">
        <v>36</v>
      </c>
    </row>
    <row r="13" spans="1:8" x14ac:dyDescent="0.3">
      <c r="C13" s="57">
        <v>0</v>
      </c>
      <c r="D13" t="s">
        <v>35</v>
      </c>
    </row>
    <row r="14" spans="1:8" x14ac:dyDescent="0.3">
      <c r="D14" t="s">
        <v>34</v>
      </c>
    </row>
    <row r="15" spans="1:8" x14ac:dyDescent="0.3">
      <c r="D15" t="s">
        <v>33</v>
      </c>
    </row>
    <row r="23" spans="1:13" x14ac:dyDescent="0.3">
      <c r="D23" t="s">
        <v>32</v>
      </c>
    </row>
    <row r="24" spans="1:13" x14ac:dyDescent="0.3">
      <c r="C24" s="56">
        <v>10</v>
      </c>
      <c r="D24" t="s">
        <v>31</v>
      </c>
    </row>
    <row r="25" spans="1:13" x14ac:dyDescent="0.3">
      <c r="C25" s="56">
        <v>10</v>
      </c>
      <c r="D25" t="s">
        <v>30</v>
      </c>
    </row>
    <row r="27" spans="1:13" x14ac:dyDescent="0.3">
      <c r="C27" s="56">
        <v>150</v>
      </c>
      <c r="D27" t="s">
        <v>29</v>
      </c>
    </row>
    <row r="28" spans="1:13" x14ac:dyDescent="0.3">
      <c r="C28" s="55">
        <v>0.2</v>
      </c>
      <c r="D28" t="s">
        <v>28</v>
      </c>
    </row>
    <row r="30" spans="1:13" ht="15" thickBot="1" x14ac:dyDescent="0.35"/>
    <row r="31" spans="1:13" ht="15" thickBot="1" x14ac:dyDescent="0.35">
      <c r="C31" s="375" t="s">
        <v>4</v>
      </c>
      <c r="D31" s="376"/>
      <c r="E31" s="376"/>
      <c r="F31" s="376"/>
      <c r="G31" s="377"/>
      <c r="I31" s="375" t="s">
        <v>3</v>
      </c>
      <c r="J31" s="376"/>
      <c r="K31" s="376"/>
      <c r="L31" s="376"/>
      <c r="M31" s="377"/>
    </row>
    <row r="32" spans="1:13" s="26" customFormat="1" x14ac:dyDescent="0.3">
      <c r="A32" s="26" t="s">
        <v>27</v>
      </c>
    </row>
    <row r="34" spans="3:7" x14ac:dyDescent="0.3">
      <c r="C34" s="382" t="s">
        <v>26</v>
      </c>
      <c r="D34" s="383"/>
      <c r="E34" s="383"/>
      <c r="F34" s="383"/>
      <c r="G34" s="384"/>
    </row>
    <row r="35" spans="3:7" x14ac:dyDescent="0.3">
      <c r="C35" s="54"/>
      <c r="D35" s="44"/>
      <c r="E35" s="53">
        <v>2017</v>
      </c>
      <c r="F35" s="52">
        <v>2018</v>
      </c>
      <c r="G35" s="51">
        <v>2019</v>
      </c>
    </row>
    <row r="36" spans="3:7" x14ac:dyDescent="0.3">
      <c r="C36" s="385" t="s">
        <v>25</v>
      </c>
      <c r="D36" s="44" t="s">
        <v>22</v>
      </c>
      <c r="E36" s="50">
        <v>45</v>
      </c>
      <c r="F36" s="49">
        <v>50</v>
      </c>
      <c r="G36" s="48">
        <v>55</v>
      </c>
    </row>
    <row r="37" spans="3:7" x14ac:dyDescent="0.3">
      <c r="C37" s="380"/>
      <c r="D37" s="34" t="s">
        <v>21</v>
      </c>
      <c r="E37" s="47">
        <v>200</v>
      </c>
      <c r="F37" s="46">
        <v>190</v>
      </c>
      <c r="G37" s="45">
        <v>205</v>
      </c>
    </row>
    <row r="38" spans="3:7" x14ac:dyDescent="0.3">
      <c r="C38" s="380"/>
      <c r="D38" s="34" t="s">
        <v>20</v>
      </c>
      <c r="E38" s="47">
        <v>235</v>
      </c>
      <c r="F38" s="46">
        <v>245</v>
      </c>
      <c r="G38" s="45">
        <v>250</v>
      </c>
    </row>
    <row r="39" spans="3:7" x14ac:dyDescent="0.3">
      <c r="C39" s="380"/>
      <c r="D39" s="34" t="s">
        <v>19</v>
      </c>
      <c r="E39" s="47">
        <v>2585</v>
      </c>
      <c r="F39" s="46">
        <v>2675</v>
      </c>
      <c r="G39" s="45">
        <v>2700</v>
      </c>
    </row>
    <row r="40" spans="3:7" x14ac:dyDescent="0.3">
      <c r="C40" s="385" t="s">
        <v>24</v>
      </c>
      <c r="D40" s="44" t="s">
        <v>22</v>
      </c>
      <c r="E40" s="43">
        <v>0.7</v>
      </c>
      <c r="F40" s="42">
        <v>0.75</v>
      </c>
      <c r="G40" s="41">
        <v>0.75</v>
      </c>
    </row>
    <row r="41" spans="3:7" x14ac:dyDescent="0.3">
      <c r="C41" s="380"/>
      <c r="D41" s="34" t="s">
        <v>21</v>
      </c>
      <c r="E41" s="40">
        <v>0.15</v>
      </c>
      <c r="F41" s="39">
        <v>0.2</v>
      </c>
      <c r="G41" s="38">
        <v>0.25</v>
      </c>
    </row>
    <row r="42" spans="3:7" x14ac:dyDescent="0.3">
      <c r="C42" s="380"/>
      <c r="D42" s="34" t="s">
        <v>20</v>
      </c>
      <c r="E42" s="40">
        <v>0.1</v>
      </c>
      <c r="F42" s="39">
        <v>0.12</v>
      </c>
      <c r="G42" s="38">
        <v>0.15</v>
      </c>
    </row>
    <row r="43" spans="3:7" x14ac:dyDescent="0.3">
      <c r="C43" s="381"/>
      <c r="D43" s="30" t="s">
        <v>19</v>
      </c>
      <c r="E43" s="37">
        <v>0.08</v>
      </c>
      <c r="F43" s="36">
        <v>0.08</v>
      </c>
      <c r="G43" s="35">
        <v>0.1</v>
      </c>
    </row>
    <row r="44" spans="3:7" x14ac:dyDescent="0.3">
      <c r="C44" s="380" t="s">
        <v>23</v>
      </c>
      <c r="D44" s="34" t="s">
        <v>22</v>
      </c>
      <c r="E44" s="33">
        <v>1.5</v>
      </c>
      <c r="F44" s="32">
        <v>1.5</v>
      </c>
      <c r="G44" s="31">
        <v>2</v>
      </c>
    </row>
    <row r="45" spans="3:7" x14ac:dyDescent="0.3">
      <c r="C45" s="380"/>
      <c r="D45" s="34" t="s">
        <v>21</v>
      </c>
      <c r="E45" s="33">
        <v>1.5</v>
      </c>
      <c r="F45" s="32">
        <v>1.5</v>
      </c>
      <c r="G45" s="31">
        <v>2</v>
      </c>
    </row>
    <row r="46" spans="3:7" x14ac:dyDescent="0.3">
      <c r="C46" s="380"/>
      <c r="D46" s="34" t="s">
        <v>20</v>
      </c>
      <c r="E46" s="33">
        <v>1.5</v>
      </c>
      <c r="F46" s="32">
        <v>1.5</v>
      </c>
      <c r="G46" s="31">
        <v>2</v>
      </c>
    </row>
    <row r="47" spans="3:7" x14ac:dyDescent="0.3">
      <c r="C47" s="381"/>
      <c r="D47" s="30" t="s">
        <v>19</v>
      </c>
      <c r="E47" s="29">
        <v>1.5</v>
      </c>
      <c r="F47" s="28">
        <v>1.5</v>
      </c>
      <c r="G47" s="27">
        <v>2</v>
      </c>
    </row>
    <row r="49" spans="1:1" s="26" customFormat="1" x14ac:dyDescent="0.3">
      <c r="A49" s="26" t="s">
        <v>18</v>
      </c>
    </row>
  </sheetData>
  <mergeCells count="7">
    <mergeCell ref="C44:C47"/>
    <mergeCell ref="C10:F10"/>
    <mergeCell ref="C31:G31"/>
    <mergeCell ref="I31:M31"/>
    <mergeCell ref="C34:G34"/>
    <mergeCell ref="C36:C39"/>
    <mergeCell ref="C40:C43"/>
  </mergeCells>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38DB9-795D-43B5-8BA6-99B00A1A27F4}">
  <sheetPr>
    <tabColor theme="9" tint="0.59999389629810485"/>
  </sheetPr>
  <dimension ref="A1:T77"/>
  <sheetViews>
    <sheetView workbookViewId="0">
      <selection activeCell="I63" sqref="I63"/>
    </sheetView>
  </sheetViews>
  <sheetFormatPr defaultRowHeight="14.4" x14ac:dyDescent="0.3"/>
  <cols>
    <col min="3" max="3" width="12.33203125" customWidth="1"/>
    <col min="5" max="5" width="12.109375" bestFit="1" customWidth="1"/>
    <col min="9" max="9" width="11.33203125" customWidth="1"/>
    <col min="10" max="10" width="15.6640625" customWidth="1"/>
    <col min="11" max="12" width="8.6640625" customWidth="1"/>
    <col min="14" max="14" width="8.6640625" customWidth="1"/>
  </cols>
  <sheetData>
    <row r="1" spans="1:13" ht="15" thickBot="1" x14ac:dyDescent="0.35">
      <c r="A1" t="s">
        <v>1059</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2" spans="1:13" ht="15" thickBot="1" x14ac:dyDescent="0.35"/>
    <row r="13" spans="1:13" ht="15" thickBot="1" x14ac:dyDescent="0.35">
      <c r="C13" s="375" t="s">
        <v>4</v>
      </c>
      <c r="D13" s="376"/>
      <c r="E13" s="376"/>
      <c r="F13" s="376"/>
      <c r="G13" s="377"/>
      <c r="I13" s="375" t="s">
        <v>3</v>
      </c>
      <c r="J13" s="376"/>
      <c r="K13" s="376"/>
      <c r="L13" s="376"/>
      <c r="M13" s="377"/>
    </row>
    <row r="14" spans="1:13" s="26" customFormat="1" x14ac:dyDescent="0.3">
      <c r="A14" s="26" t="s">
        <v>54</v>
      </c>
    </row>
    <row r="15" spans="1:13" x14ac:dyDescent="0.3">
      <c r="D15" s="84" t="s">
        <v>1058</v>
      </c>
      <c r="E15" s="260">
        <v>300</v>
      </c>
      <c r="J15" s="260">
        <f>E15</f>
        <v>300</v>
      </c>
      <c r="K15" s="83" t="s">
        <v>1058</v>
      </c>
    </row>
    <row r="16" spans="1:13" x14ac:dyDescent="0.3">
      <c r="D16" s="84" t="s">
        <v>1057</v>
      </c>
      <c r="E16">
        <v>0.85</v>
      </c>
      <c r="J16">
        <v>0.85</v>
      </c>
      <c r="K16" s="83" t="s">
        <v>1057</v>
      </c>
    </row>
    <row r="17" spans="1:14" x14ac:dyDescent="0.3">
      <c r="D17" s="84" t="s">
        <v>1056</v>
      </c>
      <c r="E17">
        <v>0.9</v>
      </c>
      <c r="J17">
        <v>0.9</v>
      </c>
      <c r="K17" s="83" t="s">
        <v>1056</v>
      </c>
    </row>
    <row r="18" spans="1:14" x14ac:dyDescent="0.3">
      <c r="D18" s="84" t="s">
        <v>1055</v>
      </c>
      <c r="E18">
        <v>1</v>
      </c>
      <c r="J18">
        <v>1</v>
      </c>
      <c r="K18" s="83" t="s">
        <v>1055</v>
      </c>
    </row>
    <row r="19" spans="1:14" x14ac:dyDescent="0.3">
      <c r="D19" s="84" t="s">
        <v>1054</v>
      </c>
      <c r="E19">
        <v>0.87</v>
      </c>
      <c r="J19" s="260">
        <f>PRODUCT(J15:J18)</f>
        <v>229.5</v>
      </c>
      <c r="K19" s="9" t="s">
        <v>1415</v>
      </c>
      <c r="L19" s="9"/>
      <c r="M19" s="9"/>
    </row>
    <row r="20" spans="1:14" x14ac:dyDescent="0.3">
      <c r="D20" s="84" t="s">
        <v>1053</v>
      </c>
      <c r="E20" s="260">
        <v>75</v>
      </c>
    </row>
    <row r="21" spans="1:14" x14ac:dyDescent="0.3">
      <c r="J21" s="147">
        <v>75</v>
      </c>
      <c r="K21" s="83" t="s">
        <v>1053</v>
      </c>
    </row>
    <row r="22" spans="1:14" x14ac:dyDescent="0.3">
      <c r="J22" s="260">
        <f>J19+J21</f>
        <v>304.5</v>
      </c>
      <c r="K22" s="9" t="s">
        <v>1414</v>
      </c>
      <c r="L22" s="9"/>
      <c r="M22" s="9"/>
      <c r="N22" s="9"/>
    </row>
    <row r="24" spans="1:14" x14ac:dyDescent="0.3">
      <c r="J24">
        <v>0.87</v>
      </c>
      <c r="K24" s="83" t="s">
        <v>1054</v>
      </c>
    </row>
    <row r="25" spans="1:14" x14ac:dyDescent="0.3">
      <c r="J25" s="5">
        <f>J22*J24</f>
        <v>264.91500000000002</v>
      </c>
      <c r="K25" s="9" t="s">
        <v>1413</v>
      </c>
      <c r="L25" s="9"/>
      <c r="M25" s="9"/>
    </row>
    <row r="27" spans="1:14" s="26" customFormat="1" x14ac:dyDescent="0.3">
      <c r="A27" s="26" t="s">
        <v>27</v>
      </c>
    </row>
    <row r="28" spans="1:14" ht="15" thickBot="1" x14ac:dyDescent="0.35"/>
    <row r="29" spans="1:14" ht="15" thickBot="1" x14ac:dyDescent="0.35">
      <c r="C29" s="375" t="s">
        <v>8</v>
      </c>
      <c r="D29" s="376"/>
      <c r="E29" s="376"/>
      <c r="F29" s="377"/>
    </row>
    <row r="31" spans="1:14" x14ac:dyDescent="0.3">
      <c r="C31" s="260">
        <v>500</v>
      </c>
      <c r="D31" t="s">
        <v>1052</v>
      </c>
    </row>
    <row r="32" spans="1:14" x14ac:dyDescent="0.3">
      <c r="C32" s="260">
        <v>400</v>
      </c>
      <c r="D32" t="s">
        <v>1051</v>
      </c>
    </row>
    <row r="33" spans="3:20" x14ac:dyDescent="0.3">
      <c r="C33" s="261">
        <v>25000</v>
      </c>
      <c r="D33" t="s">
        <v>1050</v>
      </c>
    </row>
    <row r="34" spans="3:20" x14ac:dyDescent="0.3">
      <c r="C34">
        <v>1.2</v>
      </c>
      <c r="D34" t="s">
        <v>1049</v>
      </c>
    </row>
    <row r="35" spans="3:20" ht="15" thickBot="1" x14ac:dyDescent="0.35"/>
    <row r="36" spans="3:20" ht="15" thickBot="1" x14ac:dyDescent="0.35">
      <c r="C36" s="375" t="s">
        <v>4</v>
      </c>
      <c r="D36" s="376"/>
      <c r="E36" s="376"/>
      <c r="F36" s="376"/>
      <c r="G36" s="377"/>
      <c r="I36" s="375" t="s">
        <v>3</v>
      </c>
      <c r="J36" s="376"/>
      <c r="K36" s="376"/>
      <c r="L36" s="376"/>
      <c r="M36" s="377"/>
    </row>
    <row r="39" spans="3:20" x14ac:dyDescent="0.3">
      <c r="E39" t="s">
        <v>606</v>
      </c>
      <c r="I39" s="23" t="s">
        <v>606</v>
      </c>
      <c r="J39" s="23" t="s">
        <v>247</v>
      </c>
    </row>
    <row r="40" spans="3:20" x14ac:dyDescent="0.3">
      <c r="D40" s="84" t="s">
        <v>1048</v>
      </c>
      <c r="E40" s="260">
        <f>C31</f>
        <v>500</v>
      </c>
      <c r="I40" s="137">
        <f>E41</f>
        <v>400</v>
      </c>
      <c r="J40" s="108">
        <f>$E$47*I40*12</f>
        <v>460800</v>
      </c>
      <c r="K40" s="83" t="s">
        <v>1047</v>
      </c>
    </row>
    <row r="41" spans="3:20" x14ac:dyDescent="0.3">
      <c r="D41" s="84" t="s">
        <v>1047</v>
      </c>
      <c r="E41" s="260">
        <f>C32</f>
        <v>400</v>
      </c>
      <c r="I41" s="137">
        <f>E44</f>
        <v>55</v>
      </c>
      <c r="J41" s="108">
        <f>$E$47*I41*12</f>
        <v>63360</v>
      </c>
      <c r="K41" s="83" t="s">
        <v>1045</v>
      </c>
    </row>
    <row r="42" spans="3:20" x14ac:dyDescent="0.3">
      <c r="D42" s="84"/>
      <c r="I42" s="137">
        <f>E43</f>
        <v>100</v>
      </c>
      <c r="J42" s="108">
        <f>$E$47*I42*12</f>
        <v>115200</v>
      </c>
      <c r="K42" s="83" t="s">
        <v>1046</v>
      </c>
    </row>
    <row r="43" spans="3:20" x14ac:dyDescent="0.3">
      <c r="D43" s="84" t="s">
        <v>1046</v>
      </c>
      <c r="E43" s="109">
        <v>100</v>
      </c>
      <c r="I43" s="137">
        <f>I40-I41-I42</f>
        <v>245</v>
      </c>
      <c r="J43" s="292">
        <f>$E$47*I43*12</f>
        <v>282240</v>
      </c>
      <c r="K43" s="83" t="s">
        <v>1412</v>
      </c>
      <c r="M43" s="9" t="s">
        <v>1411</v>
      </c>
      <c r="N43" s="9"/>
      <c r="O43" s="9"/>
      <c r="P43" s="9"/>
      <c r="Q43" s="9"/>
      <c r="R43" s="9"/>
      <c r="S43" s="9"/>
      <c r="T43" s="9"/>
    </row>
    <row r="44" spans="3:20" x14ac:dyDescent="0.3">
      <c r="D44" s="84" t="s">
        <v>1045</v>
      </c>
      <c r="E44" s="109">
        <v>55</v>
      </c>
      <c r="I44" s="14"/>
      <c r="J44" s="14"/>
    </row>
    <row r="45" spans="3:20" x14ac:dyDescent="0.3">
      <c r="D45" s="84"/>
    </row>
    <row r="46" spans="3:20" x14ac:dyDescent="0.3">
      <c r="D46" s="84" t="s">
        <v>1044</v>
      </c>
      <c r="E46">
        <v>48</v>
      </c>
    </row>
    <row r="47" spans="3:20" x14ac:dyDescent="0.3">
      <c r="D47" s="84" t="s">
        <v>1043</v>
      </c>
      <c r="E47">
        <v>96</v>
      </c>
    </row>
    <row r="49" spans="1:13" s="26" customFormat="1" x14ac:dyDescent="0.3">
      <c r="A49" s="26" t="s">
        <v>18</v>
      </c>
    </row>
    <row r="50" spans="1:13" ht="15" thickBot="1" x14ac:dyDescent="0.35"/>
    <row r="51" spans="1:13" ht="15" thickBot="1" x14ac:dyDescent="0.35">
      <c r="C51" s="375" t="s">
        <v>4</v>
      </c>
      <c r="D51" s="376"/>
      <c r="E51" s="376"/>
      <c r="F51" s="376"/>
      <c r="G51" s="377"/>
      <c r="I51" s="375" t="s">
        <v>3</v>
      </c>
      <c r="J51" s="376"/>
      <c r="K51" s="376"/>
      <c r="L51" s="376"/>
      <c r="M51" s="377"/>
    </row>
    <row r="54" spans="1:13" x14ac:dyDescent="0.3">
      <c r="D54" t="s">
        <v>1042</v>
      </c>
    </row>
    <row r="55" spans="1:13" x14ac:dyDescent="0.3">
      <c r="C55" t="s">
        <v>1041</v>
      </c>
      <c r="D55" s="4">
        <v>3000</v>
      </c>
    </row>
    <row r="56" spans="1:13" x14ac:dyDescent="0.3">
      <c r="C56" t="s">
        <v>1040</v>
      </c>
      <c r="D56" s="4">
        <v>250000</v>
      </c>
      <c r="I56" s="4">
        <f>D67</f>
        <v>733000</v>
      </c>
      <c r="J56" t="s">
        <v>1410</v>
      </c>
    </row>
    <row r="57" spans="1:13" x14ac:dyDescent="0.3">
      <c r="C57" t="s">
        <v>1039</v>
      </c>
      <c r="D57" s="4">
        <v>50000</v>
      </c>
      <c r="I57" s="176">
        <f>(D72-$C$33)+(D73-$C$33)</f>
        <v>475000</v>
      </c>
      <c r="J57" s="26" t="s">
        <v>1409</v>
      </c>
    </row>
    <row r="58" spans="1:13" x14ac:dyDescent="0.3">
      <c r="C58" t="s">
        <v>1038</v>
      </c>
      <c r="D58" s="4">
        <v>50000</v>
      </c>
      <c r="I58" s="4">
        <f>I56-I57</f>
        <v>258000</v>
      </c>
      <c r="J58" t="s">
        <v>1408</v>
      </c>
    </row>
    <row r="59" spans="1:13" x14ac:dyDescent="0.3">
      <c r="C59" t="s">
        <v>1037</v>
      </c>
      <c r="D59" s="4">
        <v>45000</v>
      </c>
    </row>
    <row r="60" spans="1:13" x14ac:dyDescent="0.3">
      <c r="C60" t="s">
        <v>1036</v>
      </c>
      <c r="D60" s="4">
        <v>20000</v>
      </c>
      <c r="I60" s="4">
        <f>D74</f>
        <v>0</v>
      </c>
      <c r="J60" s="83" t="s">
        <v>1025</v>
      </c>
    </row>
    <row r="61" spans="1:13" x14ac:dyDescent="0.3">
      <c r="C61" t="s">
        <v>1035</v>
      </c>
      <c r="D61" s="4">
        <v>50000</v>
      </c>
    </row>
    <row r="62" spans="1:13" x14ac:dyDescent="0.3">
      <c r="C62" t="s">
        <v>1034</v>
      </c>
      <c r="D62" s="4">
        <v>50000</v>
      </c>
      <c r="I62" s="4">
        <f>I58-I60</f>
        <v>258000</v>
      </c>
      <c r="J62" t="s">
        <v>1407</v>
      </c>
    </row>
    <row r="63" spans="1:13" x14ac:dyDescent="0.3">
      <c r="C63" t="s">
        <v>1033</v>
      </c>
      <c r="D63" s="4">
        <v>60000</v>
      </c>
    </row>
    <row r="64" spans="1:13" x14ac:dyDescent="0.3">
      <c r="C64" t="s">
        <v>1032</v>
      </c>
      <c r="D64" s="4">
        <v>25000</v>
      </c>
      <c r="I64" s="88">
        <f>J43</f>
        <v>282240</v>
      </c>
      <c r="J64" t="s">
        <v>1406</v>
      </c>
    </row>
    <row r="65" spans="3:10" x14ac:dyDescent="0.3">
      <c r="C65" t="s">
        <v>1031</v>
      </c>
      <c r="D65" s="4">
        <v>60000</v>
      </c>
    </row>
    <row r="66" spans="3:10" x14ac:dyDescent="0.3">
      <c r="C66" t="s">
        <v>1030</v>
      </c>
      <c r="D66" s="4">
        <v>70000</v>
      </c>
      <c r="I66" s="5">
        <f>I64-I58</f>
        <v>24240</v>
      </c>
      <c r="J66" t="s">
        <v>1393</v>
      </c>
    </row>
    <row r="67" spans="3:10" x14ac:dyDescent="0.3">
      <c r="C67" t="s">
        <v>247</v>
      </c>
      <c r="D67" s="4">
        <v>733000</v>
      </c>
    </row>
    <row r="70" spans="3:10" x14ac:dyDescent="0.3">
      <c r="C70" t="s">
        <v>1029</v>
      </c>
    </row>
    <row r="71" spans="3:10" x14ac:dyDescent="0.3">
      <c r="D71" t="s">
        <v>1028</v>
      </c>
    </row>
    <row r="72" spans="3:10" x14ac:dyDescent="0.3">
      <c r="C72" s="84" t="s">
        <v>1027</v>
      </c>
      <c r="D72" s="4">
        <v>450000</v>
      </c>
    </row>
    <row r="73" spans="3:10" x14ac:dyDescent="0.3">
      <c r="C73" s="84" t="s">
        <v>1026</v>
      </c>
      <c r="D73" s="4">
        <v>75000</v>
      </c>
    </row>
    <row r="74" spans="3:10" x14ac:dyDescent="0.3">
      <c r="C74" s="84" t="s">
        <v>1025</v>
      </c>
      <c r="D74" s="4">
        <v>0</v>
      </c>
    </row>
    <row r="75" spans="3:10" x14ac:dyDescent="0.3">
      <c r="I75" s="109"/>
    </row>
    <row r="77" spans="3:10" x14ac:dyDescent="0.3">
      <c r="I77" s="109"/>
    </row>
  </sheetData>
  <mergeCells count="8">
    <mergeCell ref="C51:G51"/>
    <mergeCell ref="I51:M51"/>
    <mergeCell ref="C10:F10"/>
    <mergeCell ref="C13:G13"/>
    <mergeCell ref="I13:M13"/>
    <mergeCell ref="C29:F29"/>
    <mergeCell ref="C36:G36"/>
    <mergeCell ref="I36:M36"/>
  </mergeCell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68122-A27B-4F61-AD6E-00D09BEDFF1F}">
  <sheetPr>
    <tabColor theme="5" tint="0.39997558519241921"/>
  </sheetPr>
  <dimension ref="A1:M35"/>
  <sheetViews>
    <sheetView workbookViewId="0">
      <selection activeCell="Q46" sqref="Q46"/>
    </sheetView>
  </sheetViews>
  <sheetFormatPr defaultRowHeight="14.4" x14ac:dyDescent="0.3"/>
  <cols>
    <col min="9" max="9" width="14" bestFit="1" customWidth="1"/>
  </cols>
  <sheetData>
    <row r="1" spans="1:13" ht="15" thickBot="1" x14ac:dyDescent="0.35">
      <c r="A1" t="s">
        <v>1075</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1" spans="1:13" x14ac:dyDescent="0.3">
      <c r="L11" t="s">
        <v>1074</v>
      </c>
    </row>
    <row r="12" spans="1:13" x14ac:dyDescent="0.3">
      <c r="D12" t="s">
        <v>1073</v>
      </c>
      <c r="M12" t="s">
        <v>1072</v>
      </c>
    </row>
    <row r="13" spans="1:13" x14ac:dyDescent="0.3">
      <c r="C13" s="257">
        <v>400</v>
      </c>
      <c r="D13" t="s">
        <v>1071</v>
      </c>
      <c r="M13" t="s">
        <v>1070</v>
      </c>
    </row>
    <row r="14" spans="1:13" x14ac:dyDescent="0.3">
      <c r="C14">
        <v>0.05</v>
      </c>
      <c r="D14" t="s">
        <v>1069</v>
      </c>
      <c r="M14" t="s">
        <v>1068</v>
      </c>
    </row>
    <row r="16" spans="1:13" x14ac:dyDescent="0.3">
      <c r="L16" t="s">
        <v>1067</v>
      </c>
    </row>
    <row r="17" spans="3:13" x14ac:dyDescent="0.3">
      <c r="M17" t="s">
        <v>1066</v>
      </c>
    </row>
    <row r="18" spans="3:13" x14ac:dyDescent="0.3">
      <c r="M18" t="s">
        <v>1065</v>
      </c>
    </row>
    <row r="19" spans="3:13" x14ac:dyDescent="0.3">
      <c r="M19" t="s">
        <v>1064</v>
      </c>
    </row>
    <row r="21" spans="3:13" ht="15" thickBot="1" x14ac:dyDescent="0.35"/>
    <row r="22" spans="3:13" ht="15" thickBot="1" x14ac:dyDescent="0.35">
      <c r="C22" s="375" t="s">
        <v>4</v>
      </c>
      <c r="D22" s="376"/>
      <c r="E22" s="376"/>
      <c r="F22" s="376"/>
      <c r="G22" s="377"/>
      <c r="I22" s="375" t="s">
        <v>3</v>
      </c>
      <c r="J22" s="376"/>
      <c r="K22" s="376"/>
      <c r="L22" s="376"/>
      <c r="M22" s="377"/>
    </row>
    <row r="25" spans="3:13" x14ac:dyDescent="0.3">
      <c r="C25" t="s">
        <v>928</v>
      </c>
      <c r="D25" t="s">
        <v>927</v>
      </c>
      <c r="E25" t="s">
        <v>1063</v>
      </c>
    </row>
    <row r="26" spans="3:13" x14ac:dyDescent="0.3">
      <c r="C26" t="s">
        <v>74</v>
      </c>
      <c r="D26" t="s">
        <v>925</v>
      </c>
      <c r="E26" s="257">
        <v>500</v>
      </c>
    </row>
    <row r="27" spans="3:13" x14ac:dyDescent="0.3">
      <c r="C27" t="s">
        <v>73</v>
      </c>
      <c r="D27" t="s">
        <v>924</v>
      </c>
      <c r="E27" s="257">
        <v>600</v>
      </c>
    </row>
    <row r="28" spans="3:13" x14ac:dyDescent="0.3">
      <c r="C28" t="s">
        <v>72</v>
      </c>
      <c r="D28" t="s">
        <v>923</v>
      </c>
      <c r="E28" s="257">
        <v>700</v>
      </c>
    </row>
    <row r="30" spans="3:13" x14ac:dyDescent="0.3">
      <c r="C30" t="s">
        <v>1062</v>
      </c>
      <c r="D30" t="s">
        <v>506</v>
      </c>
      <c r="E30" t="s">
        <v>1061</v>
      </c>
      <c r="F30" t="s">
        <v>1060</v>
      </c>
    </row>
    <row r="31" spans="3:13" x14ac:dyDescent="0.3">
      <c r="C31">
        <v>1</v>
      </c>
      <c r="D31">
        <v>600</v>
      </c>
      <c r="E31">
        <v>0.5</v>
      </c>
      <c r="F31" t="s">
        <v>74</v>
      </c>
    </row>
    <row r="32" spans="3:13" x14ac:dyDescent="0.3">
      <c r="C32">
        <v>2</v>
      </c>
      <c r="D32">
        <v>200</v>
      </c>
      <c r="E32">
        <v>0.7</v>
      </c>
      <c r="F32" t="s">
        <v>73</v>
      </c>
    </row>
    <row r="33" spans="3:6" x14ac:dyDescent="0.3">
      <c r="C33">
        <v>3</v>
      </c>
      <c r="D33">
        <v>300</v>
      </c>
      <c r="E33">
        <v>1</v>
      </c>
      <c r="F33" t="s">
        <v>73</v>
      </c>
    </row>
    <row r="34" spans="3:6" x14ac:dyDescent="0.3">
      <c r="C34">
        <v>4</v>
      </c>
      <c r="D34">
        <v>200</v>
      </c>
      <c r="E34">
        <v>2.25</v>
      </c>
      <c r="F34" t="s">
        <v>72</v>
      </c>
    </row>
    <row r="35" spans="3:6" x14ac:dyDescent="0.3">
      <c r="C35">
        <v>5</v>
      </c>
      <c r="D35">
        <v>50</v>
      </c>
      <c r="E35">
        <v>3.2</v>
      </c>
      <c r="F35" t="s">
        <v>72</v>
      </c>
    </row>
  </sheetData>
  <mergeCells count="3">
    <mergeCell ref="C10:F10"/>
    <mergeCell ref="C22:G22"/>
    <mergeCell ref="I22:M22"/>
  </mergeCells>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C9B05-A237-4CAB-9306-55D89D74941A}">
  <sheetPr>
    <tabColor theme="9" tint="0.59999389629810485"/>
  </sheetPr>
  <dimension ref="A1:Z55"/>
  <sheetViews>
    <sheetView workbookViewId="0">
      <selection activeCell="I63" sqref="I63"/>
    </sheetView>
  </sheetViews>
  <sheetFormatPr defaultRowHeight="14.4" x14ac:dyDescent="0.3"/>
  <cols>
    <col min="9" max="9" width="14" bestFit="1" customWidth="1"/>
  </cols>
  <sheetData>
    <row r="1" spans="1:13" ht="15" thickBot="1" x14ac:dyDescent="0.35">
      <c r="A1" t="s">
        <v>1075</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1" spans="1:13" x14ac:dyDescent="0.3">
      <c r="L11" t="s">
        <v>1074</v>
      </c>
    </row>
    <row r="12" spans="1:13" x14ac:dyDescent="0.3">
      <c r="D12" t="s">
        <v>1073</v>
      </c>
      <c r="M12" t="s">
        <v>1072</v>
      </c>
    </row>
    <row r="13" spans="1:13" x14ac:dyDescent="0.3">
      <c r="C13" s="257">
        <v>400</v>
      </c>
      <c r="D13" t="s">
        <v>1071</v>
      </c>
      <c r="M13" t="s">
        <v>1070</v>
      </c>
    </row>
    <row r="14" spans="1:13" x14ac:dyDescent="0.3">
      <c r="C14">
        <v>0.05</v>
      </c>
      <c r="D14" t="s">
        <v>1069</v>
      </c>
      <c r="M14" t="s">
        <v>1068</v>
      </c>
    </row>
    <row r="16" spans="1:13" x14ac:dyDescent="0.3">
      <c r="L16" t="s">
        <v>1067</v>
      </c>
    </row>
    <row r="17" spans="3:25" x14ac:dyDescent="0.3">
      <c r="M17" t="s">
        <v>1066</v>
      </c>
    </row>
    <row r="18" spans="3:25" x14ac:dyDescent="0.3">
      <c r="M18" t="s">
        <v>1065</v>
      </c>
    </row>
    <row r="19" spans="3:25" x14ac:dyDescent="0.3">
      <c r="M19" t="s">
        <v>1064</v>
      </c>
    </row>
    <row r="21" spans="3:25" ht="15" thickBot="1" x14ac:dyDescent="0.35"/>
    <row r="22" spans="3:25" ht="15" thickBot="1" x14ac:dyDescent="0.35">
      <c r="C22" s="375" t="s">
        <v>4</v>
      </c>
      <c r="D22" s="376"/>
      <c r="E22" s="376"/>
      <c r="F22" s="376"/>
      <c r="G22" s="377"/>
      <c r="I22" s="375" t="s">
        <v>3</v>
      </c>
      <c r="J22" s="376"/>
      <c r="K22" s="376"/>
      <c r="L22" s="376"/>
      <c r="M22" s="377"/>
    </row>
    <row r="23" spans="3:25" x14ac:dyDescent="0.3">
      <c r="I23" s="99" t="s">
        <v>1434</v>
      </c>
      <c r="R23" s="295" t="s">
        <v>1429</v>
      </c>
      <c r="S23" s="295"/>
      <c r="W23" t="s">
        <v>1428</v>
      </c>
    </row>
    <row r="24" spans="3:25" x14ac:dyDescent="0.3">
      <c r="I24" s="23" t="s">
        <v>1062</v>
      </c>
      <c r="J24" s="26" t="s">
        <v>1427</v>
      </c>
      <c r="K24" s="26" t="s">
        <v>1426</v>
      </c>
      <c r="L24" s="26" t="s">
        <v>1425</v>
      </c>
      <c r="M24" s="26" t="s">
        <v>1424</v>
      </c>
      <c r="N24" s="26" t="s">
        <v>1423</v>
      </c>
      <c r="O24" s="26" t="s">
        <v>1422</v>
      </c>
      <c r="R24" s="118" t="s">
        <v>431</v>
      </c>
      <c r="S24" s="118" t="s">
        <v>239</v>
      </c>
      <c r="W24" s="118" t="s">
        <v>284</v>
      </c>
      <c r="X24" s="118" t="s">
        <v>431</v>
      </c>
      <c r="Y24" s="118" t="s">
        <v>239</v>
      </c>
    </row>
    <row r="25" spans="3:25" x14ac:dyDescent="0.3">
      <c r="C25" t="s">
        <v>928</v>
      </c>
      <c r="D25" t="s">
        <v>927</v>
      </c>
      <c r="E25" t="s">
        <v>1063</v>
      </c>
      <c r="I25" s="14">
        <v>1</v>
      </c>
      <c r="J25" s="293">
        <f t="shared" ref="J25:L29" si="0">D31</f>
        <v>600</v>
      </c>
      <c r="K25" s="14">
        <f t="shared" si="0"/>
        <v>0.5</v>
      </c>
      <c r="L25" s="14" t="str">
        <f t="shared" si="0"/>
        <v>A</v>
      </c>
      <c r="M25" s="108">
        <f>VLOOKUP(L25,$C$26:$E$28,3,0)</f>
        <v>500</v>
      </c>
      <c r="N25" s="14" t="s">
        <v>74</v>
      </c>
      <c r="O25" s="108">
        <f>VLOOKUP(N25,$C$26:$E$28,3,0)*(1+$C$14)</f>
        <v>525</v>
      </c>
      <c r="R25" s="108">
        <f>K25*M25</f>
        <v>250</v>
      </c>
      <c r="S25" s="108">
        <f>K25*O25</f>
        <v>262.5</v>
      </c>
      <c r="W25" s="14" t="s">
        <v>74</v>
      </c>
      <c r="X25" s="108">
        <f>E26-$C$13</f>
        <v>100</v>
      </c>
      <c r="Y25" s="108">
        <f>E26*(1+$C$14)-($C$13-50)</f>
        <v>175</v>
      </c>
    </row>
    <row r="26" spans="3:25" x14ac:dyDescent="0.3">
      <c r="C26" t="s">
        <v>74</v>
      </c>
      <c r="D26" t="s">
        <v>925</v>
      </c>
      <c r="E26" s="257">
        <v>500</v>
      </c>
      <c r="I26" s="14">
        <v>2</v>
      </c>
      <c r="J26" s="293">
        <f t="shared" si="0"/>
        <v>200</v>
      </c>
      <c r="K26" s="14">
        <f t="shared" si="0"/>
        <v>0.7</v>
      </c>
      <c r="L26" s="14" t="str">
        <f t="shared" si="0"/>
        <v>B</v>
      </c>
      <c r="M26" s="108">
        <f>VLOOKUP(L26,$C$26:$E$28,3,0)</f>
        <v>600</v>
      </c>
      <c r="N26" s="14" t="s">
        <v>74</v>
      </c>
      <c r="O26" s="108">
        <f>VLOOKUP(N26,$C$26:$E$28,3,0)*(1+$C$14)</f>
        <v>525</v>
      </c>
      <c r="R26" s="108">
        <f>K26*M26</f>
        <v>420</v>
      </c>
      <c r="S26" s="108">
        <f>K26*O26</f>
        <v>367.5</v>
      </c>
      <c r="W26" s="14" t="s">
        <v>73</v>
      </c>
      <c r="X26" s="108">
        <f>E27-$C$13</f>
        <v>200</v>
      </c>
      <c r="Y26" s="108">
        <f>E27*(1+$C$14)-($C$13-50)</f>
        <v>280</v>
      </c>
    </row>
    <row r="27" spans="3:25" x14ac:dyDescent="0.3">
      <c r="C27" t="s">
        <v>73</v>
      </c>
      <c r="D27" t="s">
        <v>924</v>
      </c>
      <c r="E27" s="257">
        <v>600</v>
      </c>
      <c r="I27" s="14">
        <v>3</v>
      </c>
      <c r="J27" s="293">
        <f t="shared" si="0"/>
        <v>300</v>
      </c>
      <c r="K27" s="14">
        <f t="shared" si="0"/>
        <v>1</v>
      </c>
      <c r="L27" s="14" t="str">
        <f t="shared" si="0"/>
        <v>B</v>
      </c>
      <c r="M27" s="108">
        <f>VLOOKUP(L27,$C$26:$E$28,3,0)</f>
        <v>600</v>
      </c>
      <c r="N27" s="14" t="str">
        <f>L27</f>
        <v>B</v>
      </c>
      <c r="O27" s="108">
        <f>VLOOKUP(N27,$C$26:$E$28,3,0)*(1+$C$14)</f>
        <v>630</v>
      </c>
      <c r="R27" s="108">
        <f>K27*M27</f>
        <v>600</v>
      </c>
      <c r="S27" s="108">
        <f>K27*O27</f>
        <v>630</v>
      </c>
      <c r="W27" s="14" t="s">
        <v>72</v>
      </c>
      <c r="X27" s="108">
        <f>E28-$C$13</f>
        <v>300</v>
      </c>
      <c r="Y27" s="108">
        <f>E28*(1+$C$14)-($C$13-50)</f>
        <v>385</v>
      </c>
    </row>
    <row r="28" spans="3:25" x14ac:dyDescent="0.3">
      <c r="C28" t="s">
        <v>72</v>
      </c>
      <c r="D28" t="s">
        <v>923</v>
      </c>
      <c r="E28" s="257">
        <v>700</v>
      </c>
      <c r="I28" s="14">
        <v>4</v>
      </c>
      <c r="J28" s="293">
        <f t="shared" si="0"/>
        <v>200</v>
      </c>
      <c r="K28" s="14">
        <f t="shared" si="0"/>
        <v>2.25</v>
      </c>
      <c r="L28" s="14" t="str">
        <f t="shared" si="0"/>
        <v>C</v>
      </c>
      <c r="M28" s="108">
        <f>VLOOKUP(L28,$C$26:$E$28,3,0)</f>
        <v>700</v>
      </c>
      <c r="N28" s="14" t="s">
        <v>73</v>
      </c>
      <c r="O28" s="108">
        <f>VLOOKUP(N28,$C$26:$E$28,3,0)*(1+$C$14)</f>
        <v>630</v>
      </c>
      <c r="R28" s="108">
        <f>K28*M28</f>
        <v>1575</v>
      </c>
      <c r="S28" s="108">
        <f>K28*O28</f>
        <v>1417.5</v>
      </c>
    </row>
    <row r="29" spans="3:25" x14ac:dyDescent="0.3">
      <c r="I29" s="23">
        <v>5</v>
      </c>
      <c r="J29" s="294">
        <f t="shared" si="0"/>
        <v>50</v>
      </c>
      <c r="K29" s="23">
        <f t="shared" si="0"/>
        <v>3.2</v>
      </c>
      <c r="L29" s="23" t="str">
        <f t="shared" si="0"/>
        <v>C</v>
      </c>
      <c r="M29" s="169">
        <f>VLOOKUP(L29,$C$26:$E$28,3,0)</f>
        <v>700</v>
      </c>
      <c r="N29" s="23" t="str">
        <f>L29</f>
        <v>C</v>
      </c>
      <c r="O29" s="169">
        <f>VLOOKUP(N29,$C$26:$E$28,3,0)*(1+$C$14)</f>
        <v>735</v>
      </c>
      <c r="P29" s="26"/>
      <c r="Q29" s="26"/>
      <c r="R29" s="169">
        <f>K29*M29</f>
        <v>2240</v>
      </c>
      <c r="S29" s="169">
        <f>K29*O29</f>
        <v>2352</v>
      </c>
    </row>
    <row r="30" spans="3:25" x14ac:dyDescent="0.3">
      <c r="C30" t="s">
        <v>1062</v>
      </c>
      <c r="D30" t="s">
        <v>506</v>
      </c>
      <c r="E30" t="s">
        <v>1061</v>
      </c>
      <c r="F30" t="s">
        <v>1060</v>
      </c>
      <c r="I30" s="14"/>
      <c r="J30" s="293">
        <f>SUM(J25:J29)</f>
        <v>1350</v>
      </c>
      <c r="K30" s="14">
        <f>SUMPRODUCT(K25:K29,J25:J29)/J30</f>
        <v>1</v>
      </c>
      <c r="L30" s="14"/>
      <c r="M30" s="108">
        <f>SUMPRODUCT(M25:M29,$J$25:$J$29)</f>
        <v>775000</v>
      </c>
      <c r="N30" s="14"/>
      <c r="O30" s="108">
        <f>SUMPRODUCT(O25:O29,$J$25:$J$29)</f>
        <v>771750</v>
      </c>
      <c r="R30" s="108">
        <f>SUMPRODUCT(R25:R29,$J$25:$J$29)</f>
        <v>841000</v>
      </c>
      <c r="S30" s="108">
        <f>SUMPRODUCT(S25:S29,$J$25:$J$29)</f>
        <v>821100</v>
      </c>
    </row>
    <row r="31" spans="3:25" x14ac:dyDescent="0.3">
      <c r="C31">
        <v>1</v>
      </c>
      <c r="D31">
        <v>600</v>
      </c>
      <c r="E31">
        <v>0.5</v>
      </c>
      <c r="F31" t="s">
        <v>74</v>
      </c>
      <c r="X31" s="88"/>
      <c r="Y31" s="88"/>
    </row>
    <row r="32" spans="3:25" x14ac:dyDescent="0.3">
      <c r="C32">
        <v>2</v>
      </c>
      <c r="D32">
        <v>200</v>
      </c>
      <c r="E32">
        <v>0.7</v>
      </c>
      <c r="F32" t="s">
        <v>73</v>
      </c>
      <c r="K32" s="171"/>
      <c r="S32" t="s">
        <v>1417</v>
      </c>
    </row>
    <row r="33" spans="3:26" x14ac:dyDescent="0.3">
      <c r="C33">
        <v>3</v>
      </c>
      <c r="D33">
        <v>300</v>
      </c>
      <c r="E33">
        <v>1</v>
      </c>
      <c r="F33" t="s">
        <v>73</v>
      </c>
      <c r="S33" s="12">
        <f>S30/O30-1</f>
        <v>6.3945578231292544E-2</v>
      </c>
      <c r="T33" t="s">
        <v>1433</v>
      </c>
      <c r="Z33" s="88"/>
    </row>
    <row r="34" spans="3:26" x14ac:dyDescent="0.3">
      <c r="C34">
        <v>4</v>
      </c>
      <c r="D34">
        <v>200</v>
      </c>
      <c r="E34">
        <v>2.25</v>
      </c>
      <c r="F34" t="s">
        <v>72</v>
      </c>
      <c r="Z34" s="88"/>
    </row>
    <row r="35" spans="3:26" x14ac:dyDescent="0.3">
      <c r="C35">
        <v>5</v>
      </c>
      <c r="D35">
        <v>50</v>
      </c>
      <c r="E35">
        <v>3.2</v>
      </c>
      <c r="F35" t="s">
        <v>72</v>
      </c>
      <c r="I35" s="99" t="s">
        <v>1432</v>
      </c>
    </row>
    <row r="37" spans="3:26" x14ac:dyDescent="0.3">
      <c r="K37" s="26" t="s">
        <v>1431</v>
      </c>
      <c r="L37" s="26"/>
    </row>
    <row r="38" spans="3:26" x14ac:dyDescent="0.3">
      <c r="I38" s="23" t="s">
        <v>928</v>
      </c>
      <c r="J38" s="23" t="s">
        <v>927</v>
      </c>
      <c r="K38" s="23" t="s">
        <v>431</v>
      </c>
      <c r="L38" s="23" t="s">
        <v>239</v>
      </c>
    </row>
    <row r="39" spans="3:26" x14ac:dyDescent="0.3">
      <c r="I39" s="14" t="s">
        <v>1418</v>
      </c>
      <c r="J39" s="14" t="s">
        <v>1430</v>
      </c>
      <c r="K39" s="108"/>
      <c r="L39" s="108">
        <v>450</v>
      </c>
    </row>
    <row r="40" spans="3:26" x14ac:dyDescent="0.3">
      <c r="I40" s="14" t="s">
        <v>74</v>
      </c>
      <c r="J40" s="14" t="s">
        <v>925</v>
      </c>
      <c r="K40" s="108">
        <f>E26</f>
        <v>500</v>
      </c>
      <c r="L40" s="108">
        <f>K40*(1+$C$14)</f>
        <v>525</v>
      </c>
    </row>
    <row r="41" spans="3:26" x14ac:dyDescent="0.3">
      <c r="I41" s="14" t="s">
        <v>73</v>
      </c>
      <c r="J41" s="14" t="s">
        <v>924</v>
      </c>
      <c r="K41" s="108">
        <f>E27</f>
        <v>600</v>
      </c>
      <c r="L41" s="108">
        <f>K41*(1+$C$14)</f>
        <v>630</v>
      </c>
    </row>
    <row r="42" spans="3:26" x14ac:dyDescent="0.3">
      <c r="I42" s="14" t="s">
        <v>72</v>
      </c>
      <c r="J42" s="14" t="s">
        <v>923</v>
      </c>
      <c r="K42" s="108">
        <f>E28</f>
        <v>700</v>
      </c>
      <c r="L42" s="108">
        <f>K42*(1+$C$14)</f>
        <v>735</v>
      </c>
    </row>
    <row r="44" spans="3:26" x14ac:dyDescent="0.3">
      <c r="R44" s="295" t="s">
        <v>1429</v>
      </c>
      <c r="S44" s="295"/>
      <c r="W44" t="s">
        <v>1428</v>
      </c>
    </row>
    <row r="45" spans="3:26" x14ac:dyDescent="0.3">
      <c r="I45" s="23" t="s">
        <v>1062</v>
      </c>
      <c r="J45" s="26" t="s">
        <v>1427</v>
      </c>
      <c r="K45" s="26" t="s">
        <v>1426</v>
      </c>
      <c r="L45" s="26" t="s">
        <v>1425</v>
      </c>
      <c r="M45" s="26" t="s">
        <v>1424</v>
      </c>
      <c r="N45" s="26" t="s">
        <v>1423</v>
      </c>
      <c r="O45" s="26" t="s">
        <v>1422</v>
      </c>
      <c r="P45" s="14"/>
      <c r="Q45" s="14"/>
      <c r="R45" s="118" t="s">
        <v>431</v>
      </c>
      <c r="S45" s="118" t="s">
        <v>239</v>
      </c>
      <c r="U45" t="s">
        <v>1421</v>
      </c>
      <c r="W45" s="118" t="s">
        <v>284</v>
      </c>
      <c r="X45" s="118" t="s">
        <v>431</v>
      </c>
      <c r="Y45" s="118" t="s">
        <v>239</v>
      </c>
    </row>
    <row r="46" spans="3:26" x14ac:dyDescent="0.3">
      <c r="I46" s="14" t="s">
        <v>1420</v>
      </c>
      <c r="J46" s="293">
        <f>J25*0.5</f>
        <v>300</v>
      </c>
      <c r="K46" s="14">
        <v>0.5</v>
      </c>
      <c r="L46" s="14" t="s">
        <v>74</v>
      </c>
      <c r="M46" s="108">
        <f t="shared" ref="M46:M51" si="1">VLOOKUP(L46,$I$39:$K$42,3,0)</f>
        <v>500</v>
      </c>
      <c r="N46" s="14" t="s">
        <v>74</v>
      </c>
      <c r="O46" s="108">
        <f t="shared" ref="O46:O51" si="2">VLOOKUP(N46,$I$39:$L$42,4,0)</f>
        <v>525</v>
      </c>
      <c r="P46" s="14"/>
      <c r="Q46" s="14"/>
      <c r="R46" s="108">
        <f t="shared" ref="R46:R51" si="3">K46*M46</f>
        <v>250</v>
      </c>
      <c r="S46" s="108">
        <f t="shared" ref="S46:S51" si="4">K46*O46</f>
        <v>262.5</v>
      </c>
      <c r="U46">
        <f t="shared" ref="U46:U51" si="5">S46/R46</f>
        <v>1.05</v>
      </c>
      <c r="W46" s="14" t="s">
        <v>1418</v>
      </c>
      <c r="X46" s="14" t="s">
        <v>46</v>
      </c>
      <c r="Y46" s="108">
        <f>L39-($C$13)</f>
        <v>50</v>
      </c>
    </row>
    <row r="47" spans="3:26" x14ac:dyDescent="0.3">
      <c r="I47" s="14" t="s">
        <v>1419</v>
      </c>
      <c r="J47" s="293">
        <f>J25*0.5</f>
        <v>300</v>
      </c>
      <c r="K47" s="14">
        <f>K46</f>
        <v>0.5</v>
      </c>
      <c r="L47" s="14" t="s">
        <v>74</v>
      </c>
      <c r="M47" s="108">
        <f t="shared" si="1"/>
        <v>500</v>
      </c>
      <c r="N47" s="14" t="s">
        <v>1418</v>
      </c>
      <c r="O47" s="108">
        <f t="shared" si="2"/>
        <v>450</v>
      </c>
      <c r="P47" s="14"/>
      <c r="Q47" s="14"/>
      <c r="R47" s="108">
        <f t="shared" si="3"/>
        <v>250</v>
      </c>
      <c r="S47" s="108">
        <f t="shared" si="4"/>
        <v>225</v>
      </c>
      <c r="U47">
        <f t="shared" si="5"/>
        <v>0.9</v>
      </c>
      <c r="W47" s="14" t="s">
        <v>74</v>
      </c>
      <c r="X47" s="108">
        <f>E26-$C$13</f>
        <v>100</v>
      </c>
      <c r="Y47" s="108">
        <f>L40-($C$13)</f>
        <v>125</v>
      </c>
    </row>
    <row r="48" spans="3:26" x14ac:dyDescent="0.3">
      <c r="I48" s="14">
        <v>2</v>
      </c>
      <c r="J48" s="293">
        <v>200</v>
      </c>
      <c r="K48" s="14">
        <v>0.7</v>
      </c>
      <c r="L48" s="14" t="s">
        <v>73</v>
      </c>
      <c r="M48" s="108">
        <f t="shared" si="1"/>
        <v>600</v>
      </c>
      <c r="N48" s="14" t="s">
        <v>1418</v>
      </c>
      <c r="O48" s="108">
        <f t="shared" si="2"/>
        <v>450</v>
      </c>
      <c r="P48" s="14"/>
      <c r="Q48" s="14"/>
      <c r="R48" s="108">
        <f t="shared" si="3"/>
        <v>420</v>
      </c>
      <c r="S48" s="108">
        <f t="shared" si="4"/>
        <v>315</v>
      </c>
      <c r="U48">
        <f t="shared" si="5"/>
        <v>0.75</v>
      </c>
      <c r="W48" s="14" t="s">
        <v>73</v>
      </c>
      <c r="X48" s="108">
        <f>E27-$C$13</f>
        <v>200</v>
      </c>
      <c r="Y48" s="108">
        <f>L41-($C$13)</f>
        <v>230</v>
      </c>
    </row>
    <row r="49" spans="9:25" x14ac:dyDescent="0.3">
      <c r="I49" s="14">
        <v>3</v>
      </c>
      <c r="J49" s="293">
        <v>300</v>
      </c>
      <c r="K49" s="14">
        <v>1</v>
      </c>
      <c r="L49" s="14" t="s">
        <v>73</v>
      </c>
      <c r="M49" s="108">
        <f t="shared" si="1"/>
        <v>600</v>
      </c>
      <c r="N49" s="14" t="str">
        <f>L49</f>
        <v>B</v>
      </c>
      <c r="O49" s="108">
        <f t="shared" si="2"/>
        <v>630</v>
      </c>
      <c r="P49" s="14"/>
      <c r="Q49" s="14"/>
      <c r="R49" s="108">
        <f t="shared" si="3"/>
        <v>600</v>
      </c>
      <c r="S49" s="108">
        <f t="shared" si="4"/>
        <v>630</v>
      </c>
      <c r="U49">
        <f t="shared" si="5"/>
        <v>1.05</v>
      </c>
      <c r="W49" s="14" t="s">
        <v>72</v>
      </c>
      <c r="X49" s="108">
        <f>E28-$C$13</f>
        <v>300</v>
      </c>
      <c r="Y49" s="108">
        <f>L42-($C$13)</f>
        <v>335</v>
      </c>
    </row>
    <row r="50" spans="9:25" x14ac:dyDescent="0.3">
      <c r="I50" s="14">
        <v>4</v>
      </c>
      <c r="J50" s="293">
        <v>200</v>
      </c>
      <c r="K50" s="14">
        <v>2.25</v>
      </c>
      <c r="L50" s="14" t="s">
        <v>72</v>
      </c>
      <c r="M50" s="108">
        <f t="shared" si="1"/>
        <v>700</v>
      </c>
      <c r="N50" s="14" t="s">
        <v>72</v>
      </c>
      <c r="O50" s="108">
        <f t="shared" si="2"/>
        <v>735</v>
      </c>
      <c r="P50" s="14"/>
      <c r="Q50" s="14"/>
      <c r="R50" s="108">
        <f t="shared" si="3"/>
        <v>1575</v>
      </c>
      <c r="S50" s="108">
        <f t="shared" si="4"/>
        <v>1653.75</v>
      </c>
      <c r="U50">
        <f t="shared" si="5"/>
        <v>1.05</v>
      </c>
    </row>
    <row r="51" spans="9:25" x14ac:dyDescent="0.3">
      <c r="I51" s="23">
        <v>5</v>
      </c>
      <c r="J51" s="294">
        <v>50</v>
      </c>
      <c r="K51" s="23">
        <v>3.2</v>
      </c>
      <c r="L51" s="23" t="s">
        <v>72</v>
      </c>
      <c r="M51" s="169">
        <f t="shared" si="1"/>
        <v>700</v>
      </c>
      <c r="N51" s="23" t="str">
        <f>L51</f>
        <v>C</v>
      </c>
      <c r="O51" s="169">
        <f t="shared" si="2"/>
        <v>735</v>
      </c>
      <c r="P51" s="23"/>
      <c r="Q51" s="23"/>
      <c r="R51" s="169">
        <f t="shared" si="3"/>
        <v>2240</v>
      </c>
      <c r="S51" s="169">
        <f t="shared" si="4"/>
        <v>2352</v>
      </c>
      <c r="T51" s="26"/>
      <c r="U51" s="26">
        <f t="shared" si="5"/>
        <v>1.05</v>
      </c>
    </row>
    <row r="52" spans="9:25" x14ac:dyDescent="0.3">
      <c r="I52" s="14"/>
      <c r="J52" s="293">
        <f>SUM(J46:J51)</f>
        <v>1350</v>
      </c>
      <c r="K52" s="14">
        <f>SUMPRODUCT(K46:K51,J46:J51)/J52</f>
        <v>1</v>
      </c>
      <c r="L52" s="14"/>
      <c r="M52" s="108">
        <f>SUMPRODUCT(M46:M51,$J$46:$J$51)</f>
        <v>775000</v>
      </c>
      <c r="N52" s="14"/>
      <c r="O52" s="108">
        <f>SUMPRODUCT(O46:O51,$J$46:$J$51)</f>
        <v>755250</v>
      </c>
      <c r="P52" s="14"/>
      <c r="Q52" s="14"/>
      <c r="R52" s="108">
        <f>SUMPRODUCT(R46:R51,$J$46:$J$51)</f>
        <v>841000</v>
      </c>
      <c r="S52" s="108">
        <f>SUMPRODUCT(S46:S51,$J$46:$J$51)</f>
        <v>846600</v>
      </c>
    </row>
    <row r="54" spans="9:25" x14ac:dyDescent="0.3">
      <c r="S54" t="s">
        <v>1417</v>
      </c>
    </row>
    <row r="55" spans="9:25" x14ac:dyDescent="0.3">
      <c r="S55" s="12">
        <f>S52/O52-1</f>
        <v>0.12095332671300896</v>
      </c>
      <c r="T55" t="s">
        <v>1416</v>
      </c>
    </row>
  </sheetData>
  <mergeCells count="3">
    <mergeCell ref="C10:F10"/>
    <mergeCell ref="C22:G22"/>
    <mergeCell ref="I22:M22"/>
  </mergeCells>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53726-221D-44DD-804E-D83775D90261}">
  <sheetPr>
    <tabColor theme="5" tint="0.39997558519241921"/>
  </sheetPr>
  <dimension ref="A1:M26"/>
  <sheetViews>
    <sheetView workbookViewId="0">
      <selection activeCell="Q46" sqref="Q46"/>
    </sheetView>
  </sheetViews>
  <sheetFormatPr defaultRowHeight="14.4" x14ac:dyDescent="0.3"/>
  <cols>
    <col min="3" max="3" width="10.109375" bestFit="1" customWidth="1"/>
  </cols>
  <sheetData>
    <row r="1" spans="1:13" ht="15" thickBot="1" x14ac:dyDescent="0.35">
      <c r="A1" t="s">
        <v>1100</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2" spans="1:13" x14ac:dyDescent="0.3">
      <c r="C12">
        <v>90</v>
      </c>
      <c r="D12" t="s">
        <v>1099</v>
      </c>
    </row>
    <row r="13" spans="1:13" x14ac:dyDescent="0.3">
      <c r="H13" s="26" t="s">
        <v>1098</v>
      </c>
      <c r="I13" s="26"/>
      <c r="J13" s="26"/>
      <c r="K13" s="26"/>
      <c r="L13" s="26"/>
      <c r="M13" s="26"/>
    </row>
    <row r="14" spans="1:13" x14ac:dyDescent="0.3">
      <c r="C14" s="26" t="s">
        <v>1097</v>
      </c>
      <c r="D14" s="26"/>
      <c r="E14" s="26"/>
      <c r="F14" s="26"/>
      <c r="H14" s="109">
        <v>20</v>
      </c>
      <c r="I14" t="s">
        <v>1096</v>
      </c>
      <c r="M14" t="s">
        <v>1095</v>
      </c>
    </row>
    <row r="15" spans="1:13" x14ac:dyDescent="0.3">
      <c r="C15" t="s">
        <v>1094</v>
      </c>
      <c r="H15" s="109">
        <v>100</v>
      </c>
      <c r="I15" t="s">
        <v>1093</v>
      </c>
      <c r="M15" t="s">
        <v>1092</v>
      </c>
    </row>
    <row r="16" spans="1:13" x14ac:dyDescent="0.3">
      <c r="C16" s="88">
        <v>75000</v>
      </c>
      <c r="D16" t="s">
        <v>1083</v>
      </c>
      <c r="H16" s="109">
        <v>5</v>
      </c>
      <c r="I16" t="s">
        <v>1091</v>
      </c>
      <c r="M16" t="s">
        <v>1090</v>
      </c>
    </row>
    <row r="17" spans="3:13" x14ac:dyDescent="0.3">
      <c r="C17" s="88">
        <v>100000</v>
      </c>
      <c r="D17" t="s">
        <v>1081</v>
      </c>
      <c r="H17" s="109">
        <v>15</v>
      </c>
      <c r="I17" t="s">
        <v>1089</v>
      </c>
      <c r="M17" t="s">
        <v>1088</v>
      </c>
    </row>
    <row r="18" spans="3:13" x14ac:dyDescent="0.3">
      <c r="C18" s="88">
        <v>80000</v>
      </c>
      <c r="D18" t="s">
        <v>1087</v>
      </c>
      <c r="H18" s="57">
        <v>0.02</v>
      </c>
      <c r="I18" t="s">
        <v>1086</v>
      </c>
      <c r="M18" t="s">
        <v>1005</v>
      </c>
    </row>
    <row r="19" spans="3:13" x14ac:dyDescent="0.3">
      <c r="C19" t="s">
        <v>1085</v>
      </c>
      <c r="H19" s="57">
        <v>0.03</v>
      </c>
      <c r="I19" t="s">
        <v>1084</v>
      </c>
      <c r="M19" t="s">
        <v>1007</v>
      </c>
    </row>
    <row r="20" spans="3:13" x14ac:dyDescent="0.3">
      <c r="C20" s="88">
        <v>80000</v>
      </c>
      <c r="D20" t="s">
        <v>1083</v>
      </c>
      <c r="H20" s="57">
        <v>0</v>
      </c>
      <c r="I20" t="s">
        <v>1082</v>
      </c>
      <c r="M20" t="s">
        <v>1001</v>
      </c>
    </row>
    <row r="21" spans="3:13" x14ac:dyDescent="0.3">
      <c r="C21" s="88">
        <v>30000</v>
      </c>
      <c r="D21" t="s">
        <v>1081</v>
      </c>
      <c r="H21">
        <v>1.2</v>
      </c>
      <c r="I21" t="s">
        <v>1080</v>
      </c>
      <c r="M21">
        <v>1.2</v>
      </c>
    </row>
    <row r="22" spans="3:13" x14ac:dyDescent="0.3">
      <c r="C22" s="88">
        <v>100000</v>
      </c>
      <c r="D22" t="s">
        <v>1079</v>
      </c>
      <c r="H22" s="88">
        <v>75000</v>
      </c>
      <c r="I22" t="s">
        <v>1078</v>
      </c>
      <c r="M22">
        <v>75000</v>
      </c>
    </row>
    <row r="23" spans="3:13" x14ac:dyDescent="0.3">
      <c r="I23" t="s">
        <v>1077</v>
      </c>
    </row>
    <row r="24" spans="3:13" x14ac:dyDescent="0.3">
      <c r="C24" s="109">
        <v>300.46819136584878</v>
      </c>
      <c r="D24" t="s">
        <v>1076</v>
      </c>
    </row>
    <row r="25" spans="3:13" ht="15" thickBot="1" x14ac:dyDescent="0.35"/>
    <row r="26" spans="3:13" ht="15" thickBot="1" x14ac:dyDescent="0.35">
      <c r="C26" s="375" t="s">
        <v>3</v>
      </c>
      <c r="D26" s="376"/>
      <c r="E26" s="376"/>
      <c r="F26" s="376"/>
      <c r="G26" s="377"/>
    </row>
  </sheetData>
  <mergeCells count="2">
    <mergeCell ref="C10:F10"/>
    <mergeCell ref="C26:G26"/>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54636-B67E-4723-BA30-93DC0D126F6E}">
  <sheetPr>
    <tabColor theme="9" tint="0.59999389629810485"/>
  </sheetPr>
  <dimension ref="A1:M66"/>
  <sheetViews>
    <sheetView workbookViewId="0">
      <selection activeCell="I63" sqref="I63"/>
    </sheetView>
  </sheetViews>
  <sheetFormatPr defaultRowHeight="14.4" x14ac:dyDescent="0.3"/>
  <cols>
    <col min="3" max="3" width="10.109375" bestFit="1" customWidth="1"/>
  </cols>
  <sheetData>
    <row r="1" spans="1:13" ht="15" thickBot="1" x14ac:dyDescent="0.35">
      <c r="A1" t="s">
        <v>1100</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2" spans="1:13" x14ac:dyDescent="0.3">
      <c r="C12">
        <v>90</v>
      </c>
      <c r="D12" t="s">
        <v>1099</v>
      </c>
    </row>
    <row r="13" spans="1:13" x14ac:dyDescent="0.3">
      <c r="H13" s="26" t="s">
        <v>1098</v>
      </c>
      <c r="I13" s="26"/>
      <c r="J13" s="26"/>
      <c r="K13" s="26"/>
      <c r="L13" s="26"/>
      <c r="M13" s="26"/>
    </row>
    <row r="14" spans="1:13" x14ac:dyDescent="0.3">
      <c r="C14" s="26" t="s">
        <v>1097</v>
      </c>
      <c r="D14" s="26"/>
      <c r="E14" s="26"/>
      <c r="F14" s="26"/>
      <c r="H14" s="109">
        <v>20</v>
      </c>
      <c r="I14" t="s">
        <v>1096</v>
      </c>
      <c r="M14" t="s">
        <v>1095</v>
      </c>
    </row>
    <row r="15" spans="1:13" x14ac:dyDescent="0.3">
      <c r="C15" t="s">
        <v>1094</v>
      </c>
      <c r="H15" s="109">
        <v>100</v>
      </c>
      <c r="I15" t="s">
        <v>1093</v>
      </c>
      <c r="M15" t="s">
        <v>1092</v>
      </c>
    </row>
    <row r="16" spans="1:13" x14ac:dyDescent="0.3">
      <c r="C16" s="88">
        <v>75000</v>
      </c>
      <c r="D16" t="s">
        <v>1083</v>
      </c>
      <c r="H16" s="109">
        <v>5</v>
      </c>
      <c r="I16" t="s">
        <v>1091</v>
      </c>
      <c r="M16" t="s">
        <v>1090</v>
      </c>
    </row>
    <row r="17" spans="3:13" x14ac:dyDescent="0.3">
      <c r="C17" s="88">
        <v>100000</v>
      </c>
      <c r="D17" t="s">
        <v>1081</v>
      </c>
      <c r="H17" s="109">
        <v>15</v>
      </c>
      <c r="I17" t="s">
        <v>1089</v>
      </c>
      <c r="M17" t="s">
        <v>1088</v>
      </c>
    </row>
    <row r="18" spans="3:13" x14ac:dyDescent="0.3">
      <c r="C18" s="88">
        <v>80000</v>
      </c>
      <c r="D18" t="s">
        <v>1087</v>
      </c>
      <c r="H18" s="57">
        <v>0.02</v>
      </c>
      <c r="I18" t="s">
        <v>1086</v>
      </c>
      <c r="M18" t="s">
        <v>1005</v>
      </c>
    </row>
    <row r="19" spans="3:13" x14ac:dyDescent="0.3">
      <c r="C19" t="s">
        <v>1085</v>
      </c>
      <c r="H19" s="57">
        <v>0.03</v>
      </c>
      <c r="I19" t="s">
        <v>1084</v>
      </c>
      <c r="M19" t="s">
        <v>1007</v>
      </c>
    </row>
    <row r="20" spans="3:13" x14ac:dyDescent="0.3">
      <c r="C20" s="88">
        <v>80000</v>
      </c>
      <c r="D20" t="s">
        <v>1083</v>
      </c>
      <c r="H20" s="57">
        <v>0</v>
      </c>
      <c r="I20" t="s">
        <v>1082</v>
      </c>
      <c r="M20" t="s">
        <v>1001</v>
      </c>
    </row>
    <row r="21" spans="3:13" x14ac:dyDescent="0.3">
      <c r="C21" s="88">
        <v>30000</v>
      </c>
      <c r="D21" t="s">
        <v>1081</v>
      </c>
      <c r="H21">
        <v>1.2</v>
      </c>
      <c r="I21" t="s">
        <v>1080</v>
      </c>
      <c r="M21">
        <v>1.2</v>
      </c>
    </row>
    <row r="22" spans="3:13" x14ac:dyDescent="0.3">
      <c r="C22" s="88">
        <v>100000</v>
      </c>
      <c r="D22" t="s">
        <v>1079</v>
      </c>
      <c r="H22" s="88">
        <v>75000</v>
      </c>
      <c r="I22" t="s">
        <v>1078</v>
      </c>
      <c r="M22">
        <v>75000</v>
      </c>
    </row>
    <row r="23" spans="3:13" x14ac:dyDescent="0.3">
      <c r="I23" t="s">
        <v>1077</v>
      </c>
    </row>
    <row r="24" spans="3:13" x14ac:dyDescent="0.3">
      <c r="C24" s="109">
        <v>300.46819136584878</v>
      </c>
      <c r="D24" t="s">
        <v>1076</v>
      </c>
    </row>
    <row r="25" spans="3:13" ht="15" thickBot="1" x14ac:dyDescent="0.35"/>
    <row r="26" spans="3:13" ht="15" thickBot="1" x14ac:dyDescent="0.35">
      <c r="C26" s="375" t="s">
        <v>3</v>
      </c>
      <c r="D26" s="376"/>
      <c r="E26" s="376"/>
      <c r="F26" s="376"/>
      <c r="G26" s="377"/>
    </row>
    <row r="28" spans="3:13" x14ac:dyDescent="0.3">
      <c r="C28" s="109">
        <f>C24</f>
        <v>300.46819136584878</v>
      </c>
      <c r="D28" t="s">
        <v>1452</v>
      </c>
    </row>
    <row r="29" spans="3:13" x14ac:dyDescent="0.3">
      <c r="C29" s="296">
        <f>(1+$H$20)</f>
        <v>1</v>
      </c>
      <c r="D29" t="s">
        <v>1451</v>
      </c>
    </row>
    <row r="30" spans="3:13" x14ac:dyDescent="0.3">
      <c r="C30" s="109">
        <f>C29*C28</f>
        <v>300.46819136584878</v>
      </c>
      <c r="D30" t="s">
        <v>1450</v>
      </c>
    </row>
    <row r="31" spans="3:13" x14ac:dyDescent="0.3">
      <c r="C31" s="5">
        <f>(C30+SUM(H14,H15,H17)-H16)/(1-SUM(H18,H19))</f>
        <v>453.12441196405138</v>
      </c>
      <c r="D31" t="s">
        <v>1449</v>
      </c>
    </row>
    <row r="34" spans="3:12" x14ac:dyDescent="0.3">
      <c r="C34" t="s">
        <v>1448</v>
      </c>
    </row>
    <row r="36" spans="3:12" x14ac:dyDescent="0.3">
      <c r="C36" t="s">
        <v>1447</v>
      </c>
    </row>
    <row r="38" spans="3:12" x14ac:dyDescent="0.3">
      <c r="C38" t="s">
        <v>288</v>
      </c>
      <c r="D38" t="s">
        <v>1446</v>
      </c>
      <c r="E38" t="s">
        <v>641</v>
      </c>
      <c r="F38" t="s">
        <v>1445</v>
      </c>
    </row>
    <row r="39" spans="3:12" x14ac:dyDescent="0.3">
      <c r="C39">
        <v>3</v>
      </c>
      <c r="D39" s="88">
        <f>C16</f>
        <v>75000</v>
      </c>
      <c r="E39" s="88">
        <f t="shared" ref="E39:E44" si="0">$H$22</f>
        <v>75000</v>
      </c>
      <c r="F39" s="88">
        <f t="shared" ref="F39:F44" si="1">MAX(D39-E39,0)</f>
        <v>0</v>
      </c>
    </row>
    <row r="40" spans="3:12" x14ac:dyDescent="0.3">
      <c r="C40">
        <v>3</v>
      </c>
      <c r="D40" s="88">
        <f>C17</f>
        <v>100000</v>
      </c>
      <c r="E40" s="88">
        <f t="shared" si="0"/>
        <v>75000</v>
      </c>
      <c r="F40" s="88">
        <f t="shared" si="1"/>
        <v>25000</v>
      </c>
    </row>
    <row r="41" spans="3:12" x14ac:dyDescent="0.3">
      <c r="C41">
        <v>3</v>
      </c>
      <c r="D41" s="88">
        <f>C18</f>
        <v>80000</v>
      </c>
      <c r="E41" s="88">
        <f t="shared" si="0"/>
        <v>75000</v>
      </c>
      <c r="F41" s="88">
        <f t="shared" si="1"/>
        <v>5000</v>
      </c>
      <c r="G41" s="9" t="s">
        <v>1444</v>
      </c>
      <c r="H41" s="9"/>
      <c r="I41" s="9"/>
      <c r="J41" s="9"/>
      <c r="K41" s="9"/>
      <c r="L41" s="9"/>
    </row>
    <row r="42" spans="3:12" x14ac:dyDescent="0.3">
      <c r="C42">
        <v>4</v>
      </c>
      <c r="D42" s="88">
        <f>C20</f>
        <v>80000</v>
      </c>
      <c r="E42" s="88">
        <f t="shared" si="0"/>
        <v>75000</v>
      </c>
      <c r="F42" s="88">
        <f t="shared" si="1"/>
        <v>5000</v>
      </c>
    </row>
    <row r="43" spans="3:12" x14ac:dyDescent="0.3">
      <c r="C43">
        <v>4</v>
      </c>
      <c r="D43" s="88">
        <f>C21</f>
        <v>30000</v>
      </c>
      <c r="E43" s="88">
        <f t="shared" si="0"/>
        <v>75000</v>
      </c>
      <c r="F43" s="88">
        <f t="shared" si="1"/>
        <v>0</v>
      </c>
    </row>
    <row r="44" spans="3:12" x14ac:dyDescent="0.3">
      <c r="C44" s="26">
        <v>4</v>
      </c>
      <c r="D44" s="170">
        <f>C22</f>
        <v>100000</v>
      </c>
      <c r="E44" s="170">
        <f t="shared" si="0"/>
        <v>75000</v>
      </c>
      <c r="F44" s="170">
        <f t="shared" si="1"/>
        <v>25000</v>
      </c>
    </row>
    <row r="45" spans="3:12" x14ac:dyDescent="0.3">
      <c r="F45" s="88">
        <f>SUM(F39:F44)</f>
        <v>60000</v>
      </c>
    </row>
    <row r="47" spans="3:12" x14ac:dyDescent="0.3">
      <c r="C47" s="92">
        <f>C12*12*2</f>
        <v>2160</v>
      </c>
      <c r="D47" t="s">
        <v>1443</v>
      </c>
    </row>
    <row r="49" spans="3:4" x14ac:dyDescent="0.3">
      <c r="C49" s="109">
        <f>F45/C47</f>
        <v>27.777777777777779</v>
      </c>
      <c r="D49" t="s">
        <v>1442</v>
      </c>
    </row>
    <row r="51" spans="3:4" x14ac:dyDescent="0.3">
      <c r="C51" t="s">
        <v>1441</v>
      </c>
    </row>
    <row r="52" spans="3:4" x14ac:dyDescent="0.3">
      <c r="C52" s="109">
        <f>C28-C49</f>
        <v>272.69041358807101</v>
      </c>
      <c r="D52" t="s">
        <v>1440</v>
      </c>
    </row>
    <row r="53" spans="3:4" x14ac:dyDescent="0.3">
      <c r="C53" s="109">
        <f>C52*$H$21</f>
        <v>327.22849630568521</v>
      </c>
      <c r="D53" t="s">
        <v>1439</v>
      </c>
    </row>
    <row r="55" spans="3:4" x14ac:dyDescent="0.3">
      <c r="C55">
        <v>0</v>
      </c>
      <c r="D55" t="s">
        <v>1438</v>
      </c>
    </row>
    <row r="56" spans="3:4" x14ac:dyDescent="0.3">
      <c r="C56">
        <v>0</v>
      </c>
      <c r="D56" t="s">
        <v>1437</v>
      </c>
    </row>
    <row r="57" spans="3:4" x14ac:dyDescent="0.3">
      <c r="C57">
        <v>0</v>
      </c>
      <c r="D57" t="s">
        <v>1436</v>
      </c>
    </row>
    <row r="59" spans="3:4" x14ac:dyDescent="0.3">
      <c r="C59" s="109">
        <f>H14</f>
        <v>20</v>
      </c>
      <c r="D59" t="s">
        <v>1096</v>
      </c>
    </row>
    <row r="60" spans="3:4" x14ac:dyDescent="0.3">
      <c r="C60" s="109">
        <f>H15</f>
        <v>100</v>
      </c>
      <c r="D60" t="s">
        <v>1093</v>
      </c>
    </row>
    <row r="61" spans="3:4" x14ac:dyDescent="0.3">
      <c r="C61" s="109">
        <f>H16</f>
        <v>5</v>
      </c>
      <c r="D61" t="s">
        <v>1091</v>
      </c>
    </row>
    <row r="62" spans="3:4" x14ac:dyDescent="0.3">
      <c r="C62" s="109"/>
      <c r="D62" t="s">
        <v>1089</v>
      </c>
    </row>
    <row r="63" spans="3:4" x14ac:dyDescent="0.3">
      <c r="C63" s="57">
        <f>H18</f>
        <v>0.02</v>
      </c>
      <c r="D63" t="s">
        <v>1086</v>
      </c>
    </row>
    <row r="64" spans="3:4" x14ac:dyDescent="0.3">
      <c r="C64" s="57"/>
      <c r="D64" t="s">
        <v>1084</v>
      </c>
    </row>
    <row r="66" spans="2:4" x14ac:dyDescent="0.3">
      <c r="B66" t="s">
        <v>1297</v>
      </c>
      <c r="C66" s="5">
        <f>(C53+C57+SUM(C59,C60)-C61)/(1-SUM(C63))+C55+C56</f>
        <v>451.25356765886249</v>
      </c>
      <c r="D66" t="s">
        <v>1435</v>
      </c>
    </row>
  </sheetData>
  <mergeCells count="2">
    <mergeCell ref="C10:F10"/>
    <mergeCell ref="C26:G26"/>
  </mergeCells>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8EFC-180A-475F-A7C0-815A42446587}">
  <sheetPr>
    <tabColor theme="5" tint="0.39997558519241921"/>
  </sheetPr>
  <dimension ref="A1:M62"/>
  <sheetViews>
    <sheetView workbookViewId="0">
      <selection activeCell="Q46" sqref="Q46"/>
    </sheetView>
  </sheetViews>
  <sheetFormatPr defaultRowHeight="14.4" x14ac:dyDescent="0.3"/>
  <cols>
    <col min="2" max="2" width="51" customWidth="1"/>
    <col min="9" max="9" width="27.33203125" bestFit="1" customWidth="1"/>
    <col min="10" max="12" width="15.6640625" customWidth="1"/>
    <col min="13" max="13" width="14.44140625" customWidth="1"/>
  </cols>
  <sheetData>
    <row r="1" spans="1:13" ht="15" thickBot="1" x14ac:dyDescent="0.35">
      <c r="A1" t="s">
        <v>1119</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B10" s="375" t="s">
        <v>8</v>
      </c>
      <c r="C10" s="376"/>
      <c r="D10" s="376"/>
      <c r="E10" s="376"/>
      <c r="F10" s="376"/>
      <c r="G10" s="377"/>
    </row>
    <row r="12" spans="1:13" x14ac:dyDescent="0.3">
      <c r="B12">
        <v>47</v>
      </c>
      <c r="C12" t="s">
        <v>1118</v>
      </c>
    </row>
    <row r="13" spans="1:13" x14ac:dyDescent="0.3">
      <c r="C13" t="s">
        <v>1117</v>
      </c>
    </row>
    <row r="15" spans="1:13" ht="15" thickBot="1" x14ac:dyDescent="0.35"/>
    <row r="16" spans="1:13" ht="15" thickBot="1" x14ac:dyDescent="0.35">
      <c r="B16" s="375" t="s">
        <v>4</v>
      </c>
      <c r="C16" s="376"/>
      <c r="D16" s="376"/>
      <c r="E16" s="376"/>
      <c r="F16" s="376"/>
      <c r="G16" s="377"/>
      <c r="I16" s="375" t="s">
        <v>3</v>
      </c>
      <c r="J16" s="376"/>
      <c r="K16" s="376"/>
      <c r="L16" s="376"/>
      <c r="M16" s="377"/>
    </row>
    <row r="17" spans="1:5" x14ac:dyDescent="0.3">
      <c r="A17" t="s">
        <v>54</v>
      </c>
    </row>
    <row r="19" spans="1:5" x14ac:dyDescent="0.3">
      <c r="B19" t="s">
        <v>1116</v>
      </c>
      <c r="C19" t="s">
        <v>1114</v>
      </c>
      <c r="D19" t="s">
        <v>1113</v>
      </c>
      <c r="E19" t="s">
        <v>1112</v>
      </c>
    </row>
    <row r="20" spans="1:5" x14ac:dyDescent="0.3">
      <c r="B20" t="s">
        <v>1018</v>
      </c>
      <c r="C20">
        <v>4152</v>
      </c>
      <c r="D20">
        <v>4092</v>
      </c>
      <c r="E20">
        <v>4229</v>
      </c>
    </row>
    <row r="21" spans="1:5" x14ac:dyDescent="0.3">
      <c r="B21" t="s">
        <v>1111</v>
      </c>
      <c r="C21">
        <v>250</v>
      </c>
      <c r="D21">
        <v>275</v>
      </c>
      <c r="E21">
        <v>300</v>
      </c>
    </row>
    <row r="22" spans="1:5" x14ac:dyDescent="0.3">
      <c r="B22" t="s">
        <v>1110</v>
      </c>
      <c r="C22">
        <v>12450</v>
      </c>
      <c r="D22">
        <v>13500</v>
      </c>
      <c r="E22">
        <v>15225</v>
      </c>
    </row>
    <row r="23" spans="1:5" x14ac:dyDescent="0.3">
      <c r="B23" t="s">
        <v>1109</v>
      </c>
      <c r="C23">
        <v>10075</v>
      </c>
      <c r="D23">
        <v>10525</v>
      </c>
      <c r="E23">
        <v>13900</v>
      </c>
    </row>
    <row r="24" spans="1:5" x14ac:dyDescent="0.3">
      <c r="B24" t="s">
        <v>1108</v>
      </c>
      <c r="C24">
        <v>110</v>
      </c>
      <c r="D24">
        <v>540</v>
      </c>
      <c r="E24">
        <v>1200</v>
      </c>
    </row>
    <row r="25" spans="1:5" x14ac:dyDescent="0.3">
      <c r="B25" t="s">
        <v>1107</v>
      </c>
      <c r="C25">
        <v>872</v>
      </c>
      <c r="D25">
        <v>933</v>
      </c>
      <c r="E25">
        <v>1091</v>
      </c>
    </row>
    <row r="26" spans="1:5" x14ac:dyDescent="0.3">
      <c r="B26" t="s">
        <v>1106</v>
      </c>
      <c r="C26">
        <v>375</v>
      </c>
      <c r="D26">
        <v>450</v>
      </c>
      <c r="E26">
        <v>675</v>
      </c>
    </row>
    <row r="27" spans="1:5" x14ac:dyDescent="0.3">
      <c r="B27" t="s">
        <v>1013</v>
      </c>
      <c r="C27">
        <v>0.1111111111111111</v>
      </c>
      <c r="D27">
        <v>0.33333333333333331</v>
      </c>
      <c r="E27">
        <v>0.55555555555555558</v>
      </c>
    </row>
    <row r="29" spans="1:5" x14ac:dyDescent="0.3">
      <c r="B29" t="s">
        <v>1115</v>
      </c>
      <c r="C29" t="s">
        <v>1114</v>
      </c>
      <c r="D29" t="s">
        <v>1113</v>
      </c>
      <c r="E29" t="s">
        <v>1112</v>
      </c>
    </row>
    <row r="30" spans="1:5" x14ac:dyDescent="0.3">
      <c r="B30" t="s">
        <v>1018</v>
      </c>
      <c r="C30">
        <v>35</v>
      </c>
      <c r="D30">
        <v>40</v>
      </c>
      <c r="E30">
        <v>47</v>
      </c>
    </row>
    <row r="31" spans="1:5" x14ac:dyDescent="0.3">
      <c r="B31" t="s">
        <v>1111</v>
      </c>
      <c r="C31">
        <v>250</v>
      </c>
      <c r="D31">
        <v>275</v>
      </c>
      <c r="E31">
        <v>300</v>
      </c>
    </row>
    <row r="32" spans="1:5" x14ac:dyDescent="0.3">
      <c r="B32" t="s">
        <v>1110</v>
      </c>
      <c r="C32">
        <v>105</v>
      </c>
      <c r="D32">
        <v>130</v>
      </c>
      <c r="E32">
        <v>165</v>
      </c>
    </row>
    <row r="33" spans="2:5" x14ac:dyDescent="0.3">
      <c r="B33" t="s">
        <v>1109</v>
      </c>
      <c r="C33">
        <v>53</v>
      </c>
      <c r="D33">
        <v>83</v>
      </c>
      <c r="E33">
        <v>112</v>
      </c>
    </row>
    <row r="34" spans="2:5" x14ac:dyDescent="0.3">
      <c r="B34" t="s">
        <v>1108</v>
      </c>
      <c r="C34">
        <v>1</v>
      </c>
      <c r="D34">
        <v>5</v>
      </c>
      <c r="E34">
        <v>11</v>
      </c>
    </row>
    <row r="35" spans="2:5" x14ac:dyDescent="0.3">
      <c r="B35" t="s">
        <v>1107</v>
      </c>
      <c r="C35">
        <v>8</v>
      </c>
      <c r="D35">
        <v>11</v>
      </c>
      <c r="E35">
        <v>15</v>
      </c>
    </row>
    <row r="36" spans="2:5" x14ac:dyDescent="0.3">
      <c r="B36" t="s">
        <v>1106</v>
      </c>
      <c r="C36">
        <v>3</v>
      </c>
      <c r="D36">
        <v>5</v>
      </c>
      <c r="E36">
        <v>7</v>
      </c>
    </row>
    <row r="37" spans="2:5" x14ac:dyDescent="0.3">
      <c r="B37" t="s">
        <v>1013</v>
      </c>
      <c r="C37">
        <v>0.1111111111111111</v>
      </c>
      <c r="D37">
        <v>0.33333333333333331</v>
      </c>
      <c r="E37">
        <v>0.55555555555555558</v>
      </c>
    </row>
    <row r="39" spans="2:5" x14ac:dyDescent="0.3">
      <c r="B39" t="s">
        <v>1105</v>
      </c>
    </row>
    <row r="40" spans="2:5" x14ac:dyDescent="0.3">
      <c r="B40" t="s">
        <v>1012</v>
      </c>
      <c r="C40">
        <v>0.05</v>
      </c>
    </row>
    <row r="41" spans="2:5" x14ac:dyDescent="0.3">
      <c r="B41" t="s">
        <v>1010</v>
      </c>
      <c r="C41">
        <v>0.04</v>
      </c>
    </row>
    <row r="42" spans="2:5" x14ac:dyDescent="0.3">
      <c r="B42" t="s">
        <v>1008</v>
      </c>
      <c r="C42">
        <v>0.02</v>
      </c>
    </row>
    <row r="43" spans="2:5" x14ac:dyDescent="0.3">
      <c r="B43" t="s">
        <v>1006</v>
      </c>
      <c r="C43">
        <v>0.03</v>
      </c>
    </row>
    <row r="51" spans="1:3" s="26" customFormat="1" x14ac:dyDescent="0.3">
      <c r="A51" s="26" t="s">
        <v>27</v>
      </c>
    </row>
    <row r="57" spans="1:3" x14ac:dyDescent="0.3">
      <c r="B57" t="s">
        <v>1004</v>
      </c>
      <c r="C57" s="136">
        <v>7.0000000000000007E-2</v>
      </c>
    </row>
    <row r="58" spans="1:3" x14ac:dyDescent="0.3">
      <c r="B58" t="s">
        <v>1002</v>
      </c>
      <c r="C58" s="136">
        <v>0</v>
      </c>
    </row>
    <row r="59" spans="1:3" x14ac:dyDescent="0.3">
      <c r="B59" t="s">
        <v>1104</v>
      </c>
      <c r="C59" s="4">
        <v>325</v>
      </c>
    </row>
    <row r="60" spans="1:3" x14ac:dyDescent="0.3">
      <c r="B60" t="s">
        <v>1103</v>
      </c>
      <c r="C60" s="56">
        <v>24.75</v>
      </c>
    </row>
    <row r="61" spans="1:3" x14ac:dyDescent="0.3">
      <c r="B61" t="s">
        <v>1102</v>
      </c>
      <c r="C61" s="56">
        <v>27.5</v>
      </c>
    </row>
    <row r="62" spans="1:3" x14ac:dyDescent="0.3">
      <c r="B62" t="s">
        <v>1101</v>
      </c>
      <c r="C62" s="90">
        <v>4350</v>
      </c>
    </row>
  </sheetData>
  <mergeCells count="3">
    <mergeCell ref="B10:G10"/>
    <mergeCell ref="B16:G16"/>
    <mergeCell ref="I16:M16"/>
  </mergeCell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C70F8-3992-4559-ADEF-154FAEF1862B}">
  <sheetPr>
    <tabColor theme="9" tint="0.59999389629810485"/>
  </sheetPr>
  <dimension ref="A1:X95"/>
  <sheetViews>
    <sheetView workbookViewId="0">
      <selection activeCell="I63" sqref="I63"/>
    </sheetView>
  </sheetViews>
  <sheetFormatPr defaultRowHeight="14.4" x14ac:dyDescent="0.3"/>
  <cols>
    <col min="2" max="2" width="51" customWidth="1"/>
    <col min="9" max="9" width="27.33203125" bestFit="1" customWidth="1"/>
    <col min="10" max="12" width="15.6640625" customWidth="1"/>
    <col min="13" max="13" width="14.44140625" customWidth="1"/>
  </cols>
  <sheetData>
    <row r="1" spans="1:13" ht="15" thickBot="1" x14ac:dyDescent="0.35">
      <c r="A1" t="s">
        <v>1119</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B10" s="375" t="s">
        <v>8</v>
      </c>
      <c r="C10" s="376"/>
      <c r="D10" s="376"/>
      <c r="E10" s="376"/>
      <c r="F10" s="376"/>
      <c r="G10" s="377"/>
    </row>
    <row r="12" spans="1:13" x14ac:dyDescent="0.3">
      <c r="B12">
        <v>47</v>
      </c>
      <c r="C12" t="s">
        <v>1118</v>
      </c>
    </row>
    <row r="13" spans="1:13" x14ac:dyDescent="0.3">
      <c r="C13" t="s">
        <v>1117</v>
      </c>
    </row>
    <row r="15" spans="1:13" ht="15" thickBot="1" x14ac:dyDescent="0.35"/>
    <row r="16" spans="1:13" ht="15" thickBot="1" x14ac:dyDescent="0.35">
      <c r="B16" s="375" t="s">
        <v>4</v>
      </c>
      <c r="C16" s="376"/>
      <c r="D16" s="376"/>
      <c r="E16" s="376"/>
      <c r="F16" s="376"/>
      <c r="G16" s="377"/>
      <c r="I16" s="375" t="s">
        <v>3</v>
      </c>
      <c r="J16" s="376"/>
      <c r="K16" s="376"/>
      <c r="L16" s="376"/>
      <c r="M16" s="377"/>
    </row>
    <row r="17" spans="1:13" x14ac:dyDescent="0.3">
      <c r="A17" t="s">
        <v>54</v>
      </c>
    </row>
    <row r="19" spans="1:13" x14ac:dyDescent="0.3">
      <c r="B19" t="s">
        <v>1116</v>
      </c>
      <c r="C19" t="s">
        <v>1114</v>
      </c>
      <c r="D19" t="s">
        <v>1113</v>
      </c>
      <c r="E19" t="s">
        <v>1112</v>
      </c>
      <c r="J19" t="s">
        <v>1114</v>
      </c>
      <c r="K19" t="s">
        <v>1113</v>
      </c>
      <c r="L19" t="s">
        <v>1112</v>
      </c>
      <c r="M19" s="14"/>
    </row>
    <row r="20" spans="1:13" x14ac:dyDescent="0.3">
      <c r="B20" t="s">
        <v>1018</v>
      </c>
      <c r="C20">
        <v>4152</v>
      </c>
      <c r="D20">
        <v>4092</v>
      </c>
      <c r="E20">
        <v>4229</v>
      </c>
      <c r="I20" s="26"/>
      <c r="J20" s="23"/>
      <c r="K20" s="320"/>
      <c r="L20" s="320"/>
      <c r="M20" s="23" t="s">
        <v>247</v>
      </c>
    </row>
    <row r="21" spans="1:13" x14ac:dyDescent="0.3">
      <c r="B21" t="s">
        <v>1111</v>
      </c>
      <c r="C21">
        <v>250</v>
      </c>
      <c r="D21">
        <v>275</v>
      </c>
      <c r="E21">
        <v>300</v>
      </c>
      <c r="I21" t="s">
        <v>1405</v>
      </c>
      <c r="J21" s="90">
        <f>C22+C32</f>
        <v>12555</v>
      </c>
      <c r="K21" s="90">
        <f>D22+D32</f>
        <v>13630</v>
      </c>
      <c r="L21" s="90">
        <f>E22+E32</f>
        <v>15390</v>
      </c>
      <c r="M21" s="90">
        <f t="shared" ref="M21:M30" si="0">SUM(J21:L21)</f>
        <v>41575</v>
      </c>
    </row>
    <row r="22" spans="1:13" x14ac:dyDescent="0.3">
      <c r="B22" t="s">
        <v>1110</v>
      </c>
      <c r="C22">
        <v>12450</v>
      </c>
      <c r="D22">
        <v>13500</v>
      </c>
      <c r="E22">
        <v>15225</v>
      </c>
      <c r="I22" t="s">
        <v>1404</v>
      </c>
      <c r="J22" s="151">
        <f>C25+C35</f>
        <v>880</v>
      </c>
      <c r="K22" s="151">
        <f>D25+D35</f>
        <v>944</v>
      </c>
      <c r="L22" s="151">
        <f>E25+E35</f>
        <v>1106</v>
      </c>
      <c r="M22" s="90">
        <f t="shared" si="0"/>
        <v>2930</v>
      </c>
    </row>
    <row r="23" spans="1:13" x14ac:dyDescent="0.3">
      <c r="B23" t="s">
        <v>1109</v>
      </c>
      <c r="C23">
        <v>10075</v>
      </c>
      <c r="D23">
        <v>10525</v>
      </c>
      <c r="E23">
        <v>13900</v>
      </c>
      <c r="I23" t="s">
        <v>1403</v>
      </c>
      <c r="J23" s="90">
        <f>J21-J22</f>
        <v>11675</v>
      </c>
      <c r="K23" s="90">
        <f>K21-K22</f>
        <v>12686</v>
      </c>
      <c r="L23" s="90">
        <f>L21-L22</f>
        <v>14284</v>
      </c>
      <c r="M23" s="90">
        <f t="shared" si="0"/>
        <v>38645</v>
      </c>
    </row>
    <row r="24" spans="1:13" x14ac:dyDescent="0.3">
      <c r="B24" t="s">
        <v>1108</v>
      </c>
      <c r="C24">
        <v>110</v>
      </c>
      <c r="D24">
        <v>540</v>
      </c>
      <c r="E24">
        <v>1200</v>
      </c>
      <c r="I24" t="s">
        <v>1402</v>
      </c>
      <c r="J24" s="90">
        <f>C23+C33</f>
        <v>10128</v>
      </c>
      <c r="K24" s="90">
        <f>D23+D33</f>
        <v>10608</v>
      </c>
      <c r="L24" s="90">
        <f>E23+E33</f>
        <v>14012</v>
      </c>
      <c r="M24" s="90">
        <f t="shared" si="0"/>
        <v>34748</v>
      </c>
    </row>
    <row r="25" spans="1:13" x14ac:dyDescent="0.3">
      <c r="B25" t="s">
        <v>1107</v>
      </c>
      <c r="C25">
        <v>872</v>
      </c>
      <c r="D25">
        <v>933</v>
      </c>
      <c r="E25">
        <v>1091</v>
      </c>
      <c r="I25" t="s">
        <v>1401</v>
      </c>
      <c r="J25" s="151">
        <f>C26+C36</f>
        <v>378</v>
      </c>
      <c r="K25" s="151">
        <f>D26+D36</f>
        <v>455</v>
      </c>
      <c r="L25" s="151">
        <f>E26+E36</f>
        <v>682</v>
      </c>
      <c r="M25" s="90">
        <f t="shared" si="0"/>
        <v>1515</v>
      </c>
    </row>
    <row r="26" spans="1:13" x14ac:dyDescent="0.3">
      <c r="B26" t="s">
        <v>1106</v>
      </c>
      <c r="C26">
        <v>375</v>
      </c>
      <c r="D26">
        <v>450</v>
      </c>
      <c r="E26">
        <v>675</v>
      </c>
      <c r="I26" t="s">
        <v>1400</v>
      </c>
      <c r="J26" s="90">
        <f>J24-J25</f>
        <v>9750</v>
      </c>
      <c r="K26" s="90">
        <f>K24-K25</f>
        <v>10153</v>
      </c>
      <c r="L26" s="90">
        <f>L24-L25</f>
        <v>13330</v>
      </c>
      <c r="M26" s="90">
        <f t="shared" si="0"/>
        <v>33233</v>
      </c>
    </row>
    <row r="27" spans="1:13" x14ac:dyDescent="0.3">
      <c r="B27" t="s">
        <v>1013</v>
      </c>
      <c r="C27">
        <v>0.1111111111111111</v>
      </c>
      <c r="D27">
        <v>0.33333333333333331</v>
      </c>
      <c r="E27">
        <v>0.55555555555555558</v>
      </c>
      <c r="I27" t="s">
        <v>1399</v>
      </c>
      <c r="J27" s="151">
        <f>(C24+C34)-0</f>
        <v>111</v>
      </c>
      <c r="K27" s="151">
        <f>(D24+D34)-(C24+C34)</f>
        <v>434</v>
      </c>
      <c r="L27" s="151">
        <f>(E24+E34)-(D24+D34)</f>
        <v>666</v>
      </c>
      <c r="M27" s="90">
        <f t="shared" si="0"/>
        <v>1211</v>
      </c>
    </row>
    <row r="28" spans="1:13" x14ac:dyDescent="0.3">
      <c r="I28" t="s">
        <v>1398</v>
      </c>
      <c r="J28" s="90">
        <f>J26+J27</f>
        <v>9861</v>
      </c>
      <c r="K28" s="90">
        <f>K26+K27</f>
        <v>10587</v>
      </c>
      <c r="L28" s="90">
        <f>L26+L27</f>
        <v>13996</v>
      </c>
      <c r="M28" s="90">
        <f t="shared" si="0"/>
        <v>34444</v>
      </c>
    </row>
    <row r="29" spans="1:13" x14ac:dyDescent="0.3">
      <c r="B29" t="s">
        <v>1115</v>
      </c>
      <c r="C29" t="s">
        <v>1114</v>
      </c>
      <c r="D29" t="s">
        <v>1113</v>
      </c>
      <c r="E29" t="s">
        <v>1112</v>
      </c>
      <c r="I29" t="s">
        <v>1397</v>
      </c>
      <c r="J29" s="90">
        <f>J21*SUM($C$40:$C$43)</f>
        <v>1757.7000000000003</v>
      </c>
      <c r="K29" s="90">
        <f>K21*SUM($C$40:$C$43)</f>
        <v>1908.2000000000003</v>
      </c>
      <c r="L29" s="90">
        <f>L21*SUM($C$40:$C$43)</f>
        <v>2154.6000000000004</v>
      </c>
      <c r="M29" s="90">
        <f t="shared" si="0"/>
        <v>5820.5000000000009</v>
      </c>
    </row>
    <row r="30" spans="1:13" x14ac:dyDescent="0.3">
      <c r="B30" t="s">
        <v>1018</v>
      </c>
      <c r="C30">
        <v>35</v>
      </c>
      <c r="D30">
        <v>40</v>
      </c>
      <c r="E30">
        <v>47</v>
      </c>
      <c r="I30" t="s">
        <v>1396</v>
      </c>
      <c r="J30" s="90">
        <f>J23-J28-J29</f>
        <v>56.299999999999727</v>
      </c>
      <c r="K30" s="90">
        <f>K23-K28-K29</f>
        <v>190.79999999999973</v>
      </c>
      <c r="L30" s="90">
        <f>L23-L28-L29</f>
        <v>-1866.6000000000004</v>
      </c>
      <c r="M30" s="288">
        <f t="shared" si="0"/>
        <v>-1619.5000000000009</v>
      </c>
    </row>
    <row r="31" spans="1:13" x14ac:dyDescent="0.3">
      <c r="B31" t="s">
        <v>1111</v>
      </c>
      <c r="C31">
        <v>250</v>
      </c>
      <c r="D31">
        <v>275</v>
      </c>
      <c r="E31">
        <v>300</v>
      </c>
    </row>
    <row r="32" spans="1:13" x14ac:dyDescent="0.3">
      <c r="B32" t="s">
        <v>1110</v>
      </c>
      <c r="C32">
        <v>105</v>
      </c>
      <c r="D32">
        <v>130</v>
      </c>
      <c r="E32">
        <v>165</v>
      </c>
    </row>
    <row r="33" spans="2:19" x14ac:dyDescent="0.3">
      <c r="B33" t="s">
        <v>1109</v>
      </c>
      <c r="C33">
        <v>53</v>
      </c>
      <c r="D33">
        <v>83</v>
      </c>
      <c r="E33">
        <v>112</v>
      </c>
    </row>
    <row r="34" spans="2:19" x14ac:dyDescent="0.3">
      <c r="B34" t="s">
        <v>1108</v>
      </c>
      <c r="C34">
        <v>1</v>
      </c>
      <c r="D34">
        <v>5</v>
      </c>
      <c r="E34">
        <v>11</v>
      </c>
    </row>
    <row r="35" spans="2:19" x14ac:dyDescent="0.3">
      <c r="B35" t="s">
        <v>1107</v>
      </c>
      <c r="C35">
        <v>8</v>
      </c>
      <c r="D35">
        <v>11</v>
      </c>
      <c r="E35">
        <v>15</v>
      </c>
    </row>
    <row r="36" spans="2:19" x14ac:dyDescent="0.3">
      <c r="B36" t="s">
        <v>1106</v>
      </c>
      <c r="C36">
        <v>3</v>
      </c>
      <c r="D36">
        <v>5</v>
      </c>
      <c r="E36">
        <v>7</v>
      </c>
      <c r="I36" s="411" t="s">
        <v>1481</v>
      </c>
      <c r="J36" s="412"/>
      <c r="K36" s="412"/>
      <c r="L36" s="412"/>
      <c r="M36" s="413"/>
    </row>
    <row r="37" spans="2:19" x14ac:dyDescent="0.3">
      <c r="B37" t="s">
        <v>1013</v>
      </c>
      <c r="C37">
        <v>0.1111111111111111</v>
      </c>
      <c r="D37">
        <v>0.33333333333333331</v>
      </c>
      <c r="E37">
        <v>0.55555555555555558</v>
      </c>
      <c r="I37" s="255"/>
      <c r="J37" s="44" t="s">
        <v>1114</v>
      </c>
      <c r="K37" s="44" t="s">
        <v>1113</v>
      </c>
      <c r="L37" s="44" t="s">
        <v>1112</v>
      </c>
      <c r="M37" s="215" t="s">
        <v>247</v>
      </c>
    </row>
    <row r="38" spans="2:19" x14ac:dyDescent="0.3">
      <c r="I38" s="54" t="s">
        <v>1480</v>
      </c>
      <c r="J38" s="319">
        <f>J30</f>
        <v>56.299999999999727</v>
      </c>
      <c r="K38" s="319">
        <f>K30</f>
        <v>190.79999999999973</v>
      </c>
      <c r="L38" s="319">
        <f>L30</f>
        <v>-1866.6000000000004</v>
      </c>
      <c r="M38" s="318">
        <f>SUM(J38:L38)</f>
        <v>-1619.5000000000009</v>
      </c>
    </row>
    <row r="39" spans="2:19" x14ac:dyDescent="0.3">
      <c r="B39" t="s">
        <v>1105</v>
      </c>
      <c r="I39" s="317" t="s">
        <v>1479</v>
      </c>
      <c r="J39" s="305">
        <f>IF(J38&lt;0,0,J38)</f>
        <v>56.299999999999727</v>
      </c>
      <c r="K39" s="305">
        <f>IF(K38&lt;0,0,K38)</f>
        <v>190.79999999999973</v>
      </c>
      <c r="L39" s="305">
        <f>IF(L38&lt;0,0,L38)</f>
        <v>0</v>
      </c>
      <c r="M39" s="5">
        <f>SUM(J39:L39)</f>
        <v>247.09999999999945</v>
      </c>
      <c r="N39" s="9" t="s">
        <v>1478</v>
      </c>
      <c r="O39" s="9"/>
      <c r="P39" s="9"/>
      <c r="Q39" s="9"/>
      <c r="R39" s="9"/>
      <c r="S39" s="9"/>
    </row>
    <row r="40" spans="2:19" x14ac:dyDescent="0.3">
      <c r="B40" t="s">
        <v>1012</v>
      </c>
      <c r="C40">
        <v>0.05</v>
      </c>
      <c r="I40" s="316" t="s">
        <v>1477</v>
      </c>
      <c r="J40" s="315">
        <f>IF(J38&gt;0,0,J38)</f>
        <v>0</v>
      </c>
      <c r="K40" s="315">
        <f>IF(K38&gt;0,0,K38)</f>
        <v>0</v>
      </c>
      <c r="L40" s="315">
        <f>IF(L38&gt;0,0,L38)</f>
        <v>-1866.6000000000004</v>
      </c>
      <c r="M40" s="314">
        <f>SUM(J40:L40)</f>
        <v>-1866.6000000000004</v>
      </c>
    </row>
    <row r="41" spans="2:19" x14ac:dyDescent="0.3">
      <c r="B41" t="s">
        <v>1010</v>
      </c>
      <c r="C41">
        <v>0.04</v>
      </c>
    </row>
    <row r="42" spans="2:19" x14ac:dyDescent="0.3">
      <c r="B42" t="s">
        <v>1008</v>
      </c>
      <c r="C42">
        <v>0.02</v>
      </c>
    </row>
    <row r="43" spans="2:19" x14ac:dyDescent="0.3">
      <c r="B43" t="s">
        <v>1006</v>
      </c>
      <c r="C43">
        <v>0.03</v>
      </c>
      <c r="J43" s="168" t="s">
        <v>1476</v>
      </c>
      <c r="K43" s="167"/>
      <c r="L43" s="166"/>
      <c r="M43" s="313"/>
    </row>
    <row r="44" spans="2:19" x14ac:dyDescent="0.3">
      <c r="J44" s="243" t="s">
        <v>1475</v>
      </c>
      <c r="K44" s="242"/>
      <c r="L44" s="242"/>
      <c r="M44" s="312">
        <f>M40</f>
        <v>-1866.6000000000004</v>
      </c>
    </row>
    <row r="45" spans="2:19" x14ac:dyDescent="0.3">
      <c r="J45" s="54" t="s">
        <v>1474</v>
      </c>
      <c r="M45" s="311">
        <f>M22-M25</f>
        <v>1415</v>
      </c>
    </row>
    <row r="46" spans="2:19" x14ac:dyDescent="0.3">
      <c r="J46" s="54" t="s">
        <v>1473</v>
      </c>
      <c r="M46" s="311">
        <f>C43*M21</f>
        <v>1247.25</v>
      </c>
    </row>
    <row r="47" spans="2:19" x14ac:dyDescent="0.3">
      <c r="J47" s="219" t="s">
        <v>1472</v>
      </c>
      <c r="K47" s="309"/>
      <c r="L47" s="309"/>
      <c r="M47" s="5">
        <f>SUM(M44:M46)</f>
        <v>795.64999999999964</v>
      </c>
    </row>
    <row r="48" spans="2:19" x14ac:dyDescent="0.3">
      <c r="J48" s="91" t="s">
        <v>1471</v>
      </c>
      <c r="K48" s="26"/>
      <c r="L48" s="26"/>
      <c r="M48" s="310">
        <f>M47/M21</f>
        <v>1.9137702946482253E-2</v>
      </c>
    </row>
    <row r="51" spans="1:15" s="26" customFormat="1" x14ac:dyDescent="0.3">
      <c r="A51" s="26" t="s">
        <v>27</v>
      </c>
    </row>
    <row r="53" spans="1:15" x14ac:dyDescent="0.3">
      <c r="I53" s="182" t="s">
        <v>1470</v>
      </c>
    </row>
    <row r="54" spans="1:15" x14ac:dyDescent="0.3">
      <c r="K54" s="56"/>
      <c r="L54" s="56"/>
      <c r="M54" s="56"/>
    </row>
    <row r="55" spans="1:15" x14ac:dyDescent="0.3">
      <c r="K55" s="56"/>
      <c r="L55" s="56"/>
      <c r="M55" s="56"/>
    </row>
    <row r="56" spans="1:15" x14ac:dyDescent="0.3">
      <c r="I56" s="135"/>
    </row>
    <row r="57" spans="1:15" x14ac:dyDescent="0.3">
      <c r="B57" t="s">
        <v>1004</v>
      </c>
      <c r="C57" s="136">
        <v>7.0000000000000007E-2</v>
      </c>
      <c r="I57" s="206"/>
      <c r="J57" s="206"/>
      <c r="K57" s="309" t="s">
        <v>1114</v>
      </c>
      <c r="L57" s="309" t="s">
        <v>1113</v>
      </c>
      <c r="M57" s="309" t="s">
        <v>1112</v>
      </c>
      <c r="N57" s="206" t="s">
        <v>247</v>
      </c>
      <c r="O57" s="206" t="s">
        <v>1389</v>
      </c>
    </row>
    <row r="58" spans="1:15" x14ac:dyDescent="0.3">
      <c r="B58" t="s">
        <v>1002</v>
      </c>
      <c r="C58" s="136">
        <v>0</v>
      </c>
      <c r="I58" s="52" t="s">
        <v>74</v>
      </c>
      <c r="J58" s="44" t="s">
        <v>275</v>
      </c>
      <c r="K58" s="308">
        <f>C20+C30</f>
        <v>4187</v>
      </c>
      <c r="L58" s="308">
        <f>D20+D30</f>
        <v>4132</v>
      </c>
      <c r="M58" s="308">
        <f>E20+E30</f>
        <v>4276</v>
      </c>
      <c r="N58" s="308">
        <f t="shared" ref="N58:N63" si="1">SUM(K58:M58)</f>
        <v>12595</v>
      </c>
      <c r="O58" s="44" t="s">
        <v>634</v>
      </c>
    </row>
    <row r="59" spans="1:15" x14ac:dyDescent="0.3">
      <c r="B59" t="s">
        <v>1104</v>
      </c>
      <c r="C59" s="4">
        <v>325</v>
      </c>
      <c r="I59" s="64" t="s">
        <v>73</v>
      </c>
      <c r="J59" s="34" t="s">
        <v>1388</v>
      </c>
      <c r="K59" s="305">
        <f t="shared" ref="K59:M60" si="2">J21</f>
        <v>12555</v>
      </c>
      <c r="L59" s="305">
        <f t="shared" si="2"/>
        <v>13630</v>
      </c>
      <c r="M59" s="305">
        <f t="shared" si="2"/>
        <v>15390</v>
      </c>
      <c r="N59" s="305">
        <f t="shared" si="1"/>
        <v>41575</v>
      </c>
      <c r="O59" s="34" t="s">
        <v>1469</v>
      </c>
    </row>
    <row r="60" spans="1:15" x14ac:dyDescent="0.3">
      <c r="B60" t="s">
        <v>1103</v>
      </c>
      <c r="C60" s="56">
        <v>24.75</v>
      </c>
      <c r="I60" s="64" t="s">
        <v>72</v>
      </c>
      <c r="J60" s="34" t="s">
        <v>1387</v>
      </c>
      <c r="K60" s="307">
        <f t="shared" si="2"/>
        <v>880</v>
      </c>
      <c r="L60" s="307">
        <f t="shared" si="2"/>
        <v>944</v>
      </c>
      <c r="M60" s="307">
        <f t="shared" si="2"/>
        <v>1106</v>
      </c>
      <c r="N60" s="305">
        <f t="shared" si="1"/>
        <v>2930</v>
      </c>
      <c r="O60" s="34" t="s">
        <v>1469</v>
      </c>
    </row>
    <row r="61" spans="1:15" x14ac:dyDescent="0.3">
      <c r="B61" t="s">
        <v>1102</v>
      </c>
      <c r="C61" s="56">
        <v>27.5</v>
      </c>
      <c r="I61" s="64" t="s">
        <v>71</v>
      </c>
      <c r="J61" s="34" t="s">
        <v>1386</v>
      </c>
      <c r="K61" s="299">
        <f>C21</f>
        <v>250</v>
      </c>
      <c r="L61" s="299">
        <f>D21</f>
        <v>275</v>
      </c>
      <c r="M61" s="299">
        <f>E21</f>
        <v>300</v>
      </c>
      <c r="N61" s="305">
        <f t="shared" si="1"/>
        <v>825</v>
      </c>
      <c r="O61" s="34" t="s">
        <v>634</v>
      </c>
    </row>
    <row r="62" spans="1:15" x14ac:dyDescent="0.3">
      <c r="B62" t="s">
        <v>1101</v>
      </c>
      <c r="C62" s="90">
        <v>4350</v>
      </c>
      <c r="I62" s="64" t="s">
        <v>70</v>
      </c>
      <c r="J62" s="34" t="s">
        <v>1385</v>
      </c>
      <c r="K62" s="299">
        <f>(1000*K60)/(12*K58)</f>
        <v>17.514529098001752</v>
      </c>
      <c r="L62" s="299">
        <f>(1000*L60)/(12*L58)</f>
        <v>19.038399483704421</v>
      </c>
      <c r="M62" s="299">
        <f>(1000*M60)/(12*M58)</f>
        <v>21.554412223261615</v>
      </c>
      <c r="N62" s="305">
        <f t="shared" si="1"/>
        <v>58.107340804967784</v>
      </c>
      <c r="O62" s="34" t="s">
        <v>1468</v>
      </c>
    </row>
    <row r="63" spans="1:15" x14ac:dyDescent="0.3">
      <c r="I63" s="64" t="s">
        <v>69</v>
      </c>
      <c r="J63" s="34" t="s">
        <v>1383</v>
      </c>
      <c r="K63" s="299">
        <f>K61-K62</f>
        <v>232.48547090199824</v>
      </c>
      <c r="L63" s="299">
        <f>L61-L62</f>
        <v>255.96160051629559</v>
      </c>
      <c r="M63" s="299">
        <f>M61-M62</f>
        <v>278.44558777673836</v>
      </c>
      <c r="N63" s="305">
        <f t="shared" si="1"/>
        <v>766.89265919503214</v>
      </c>
      <c r="O63" s="303" t="s">
        <v>1382</v>
      </c>
    </row>
    <row r="64" spans="1:15" x14ac:dyDescent="0.3">
      <c r="I64" s="64" t="s">
        <v>1381</v>
      </c>
      <c r="J64" s="34" t="s">
        <v>1380</v>
      </c>
      <c r="K64" s="306">
        <f>($C$59-$C$60)/K63</f>
        <v>1.2914785549182433</v>
      </c>
      <c r="L64" s="306">
        <f>($C$59-$C$60)/L63</f>
        <v>1.1730275142614013</v>
      </c>
      <c r="M64" s="306">
        <f>($C$59-$C$60)/M63</f>
        <v>1.0783076233937121</v>
      </c>
      <c r="N64" s="305"/>
      <c r="O64" s="303" t="s">
        <v>1379</v>
      </c>
    </row>
    <row r="65" spans="9:24" x14ac:dyDescent="0.3">
      <c r="I65" s="64" t="s">
        <v>1378</v>
      </c>
      <c r="J65" s="34" t="s">
        <v>1377</v>
      </c>
      <c r="K65" s="305">
        <f>(K59-K60)*K64</f>
        <v>15078.012128670491</v>
      </c>
      <c r="L65" s="305">
        <f>(L59-L60)*L64</f>
        <v>14881.027045920137</v>
      </c>
      <c r="M65" s="305">
        <f>(M59-M60)*M64</f>
        <v>15402.546092555784</v>
      </c>
      <c r="N65" s="305">
        <f>SUM(K65:M65)</f>
        <v>45361.585267146409</v>
      </c>
      <c r="O65" s="303" t="s">
        <v>1376</v>
      </c>
    </row>
    <row r="66" spans="9:24" x14ac:dyDescent="0.3">
      <c r="I66" s="64" t="s">
        <v>1375</v>
      </c>
      <c r="J66" s="34" t="s">
        <v>273</v>
      </c>
      <c r="K66" s="305">
        <f>J28</f>
        <v>9861</v>
      </c>
      <c r="L66" s="305">
        <f>K28</f>
        <v>10587</v>
      </c>
      <c r="M66" s="305">
        <f>L28</f>
        <v>13996</v>
      </c>
      <c r="N66" s="305">
        <f>SUM(K66:M66)</f>
        <v>34444</v>
      </c>
      <c r="O66" s="34" t="s">
        <v>1374</v>
      </c>
    </row>
    <row r="67" spans="9:24" x14ac:dyDescent="0.3">
      <c r="I67" s="64" t="s">
        <v>1373</v>
      </c>
      <c r="J67" s="34" t="s">
        <v>1372</v>
      </c>
      <c r="K67" s="34">
        <f>2020-2016</f>
        <v>4</v>
      </c>
      <c r="L67" s="34">
        <f>K67-1</f>
        <v>3</v>
      </c>
      <c r="M67" s="34">
        <f>L67-1</f>
        <v>2</v>
      </c>
      <c r="N67" s="34"/>
      <c r="O67" s="34" t="s">
        <v>1467</v>
      </c>
    </row>
    <row r="68" spans="9:24" x14ac:dyDescent="0.3">
      <c r="I68" s="64" t="s">
        <v>1370</v>
      </c>
      <c r="J68" s="34" t="s">
        <v>1369</v>
      </c>
      <c r="K68" s="305">
        <f>K66*(1+$C$57)^K67</f>
        <v>12925.759454610001</v>
      </c>
      <c r="L68" s="305">
        <f>L66*(1+$C$57)^L67</f>
        <v>12969.530241</v>
      </c>
      <c r="M68" s="305">
        <f>M66*(1+$C$57)^M67</f>
        <v>16024.020400000001</v>
      </c>
      <c r="N68" s="305">
        <f>SUM(K68:M68)</f>
        <v>41919.310095610002</v>
      </c>
      <c r="O68" s="303" t="s">
        <v>1466</v>
      </c>
    </row>
    <row r="69" spans="9:24" x14ac:dyDescent="0.3">
      <c r="I69" s="64" t="s">
        <v>1367</v>
      </c>
      <c r="J69" s="34" t="s">
        <v>272</v>
      </c>
      <c r="K69" s="304">
        <f>K68/K65</f>
        <v>0.8572588577530037</v>
      </c>
      <c r="L69" s="304">
        <f>L68/L65</f>
        <v>0.87154805921515999</v>
      </c>
      <c r="M69" s="304">
        <f>M68/M65</f>
        <v>1.0403488036140065</v>
      </c>
      <c r="N69" s="304">
        <f>N68/N65</f>
        <v>0.92411475147387523</v>
      </c>
      <c r="O69" s="303" t="s">
        <v>1366</v>
      </c>
    </row>
    <row r="70" spans="9:24" x14ac:dyDescent="0.3">
      <c r="I70" s="61" t="s">
        <v>1365</v>
      </c>
      <c r="J70" s="30" t="s">
        <v>1364</v>
      </c>
      <c r="K70" s="302">
        <f>C27</f>
        <v>0.1111111111111111</v>
      </c>
      <c r="L70" s="302">
        <f>D27</f>
        <v>0.33333333333333331</v>
      </c>
      <c r="M70" s="302">
        <f>E27</f>
        <v>0.55555555555555558</v>
      </c>
      <c r="N70" s="30"/>
      <c r="O70" s="30" t="s">
        <v>634</v>
      </c>
    </row>
    <row r="72" spans="9:24" x14ac:dyDescent="0.3">
      <c r="J72" t="s">
        <v>1465</v>
      </c>
      <c r="M72" s="57">
        <f>SUMPRODUCT(K70:M70,K69:M69)</f>
        <v>0.96373856149650172</v>
      </c>
      <c r="N72" s="9" t="s">
        <v>1464</v>
      </c>
      <c r="O72" s="9"/>
      <c r="P72" s="9"/>
      <c r="Q72" s="9"/>
      <c r="R72" s="9"/>
      <c r="S72" s="9"/>
      <c r="T72" s="9"/>
      <c r="U72" s="9"/>
      <c r="V72" s="9"/>
      <c r="W72" s="9"/>
      <c r="X72" s="9"/>
    </row>
    <row r="73" spans="9:24" x14ac:dyDescent="0.3">
      <c r="J73" t="s">
        <v>1361</v>
      </c>
      <c r="M73" s="86">
        <f>1-SUM(C40:C43)</f>
        <v>0.86</v>
      </c>
      <c r="N73" s="9" t="s">
        <v>1463</v>
      </c>
      <c r="O73" s="9"/>
      <c r="P73" s="9"/>
      <c r="Q73" s="9"/>
      <c r="R73" s="9"/>
      <c r="S73" s="9"/>
      <c r="T73" s="9"/>
      <c r="U73" s="9"/>
      <c r="V73" s="9"/>
      <c r="W73" s="9"/>
      <c r="X73" s="9"/>
    </row>
    <row r="74" spans="9:24" x14ac:dyDescent="0.3">
      <c r="J74" t="s">
        <v>1462</v>
      </c>
      <c r="M74" s="57">
        <f>M72/M73-1</f>
        <v>0.12062623429825781</v>
      </c>
      <c r="N74" s="9" t="s">
        <v>1461</v>
      </c>
      <c r="O74" s="9"/>
      <c r="P74" s="9"/>
      <c r="Q74" s="9"/>
      <c r="R74" s="9"/>
      <c r="S74" s="9"/>
      <c r="T74" s="9"/>
      <c r="U74" s="9"/>
      <c r="V74" s="9"/>
      <c r="W74" s="9"/>
    </row>
    <row r="76" spans="9:24" x14ac:dyDescent="0.3">
      <c r="K76" s="168" t="s">
        <v>1460</v>
      </c>
      <c r="L76" s="166"/>
      <c r="M76" s="59" t="s">
        <v>606</v>
      </c>
      <c r="N76" s="301"/>
      <c r="O76" s="301"/>
    </row>
    <row r="77" spans="9:24" x14ac:dyDescent="0.3">
      <c r="K77" s="243" t="s">
        <v>1355</v>
      </c>
      <c r="L77" s="241"/>
      <c r="M77" s="300">
        <f>(1+M74)*(C59-C60)</f>
        <v>336.46802684805192</v>
      </c>
      <c r="N77" t="s">
        <v>1459</v>
      </c>
    </row>
    <row r="78" spans="9:24" x14ac:dyDescent="0.3">
      <c r="K78" s="54" t="s">
        <v>1353</v>
      </c>
      <c r="L78" s="106"/>
      <c r="M78" s="299">
        <v>0</v>
      </c>
    </row>
    <row r="79" spans="9:24" x14ac:dyDescent="0.3">
      <c r="K79" s="91" t="s">
        <v>1351</v>
      </c>
      <c r="L79" s="297"/>
      <c r="M79" s="298">
        <f>C61</f>
        <v>27.5</v>
      </c>
      <c r="N79" t="s">
        <v>634</v>
      </c>
    </row>
    <row r="80" spans="9:24" x14ac:dyDescent="0.3">
      <c r="K80" s="91" t="s">
        <v>1168</v>
      </c>
      <c r="L80" s="297"/>
      <c r="M80" s="5">
        <f>SUM(M77:M79)</f>
        <v>363.96802684805192</v>
      </c>
      <c r="N80" s="9" t="s">
        <v>1458</v>
      </c>
      <c r="O80" s="9"/>
      <c r="P80" s="9"/>
      <c r="Q80" s="9"/>
      <c r="R80" s="9"/>
      <c r="S80" s="9"/>
      <c r="T80" s="9"/>
      <c r="U80" s="9"/>
      <c r="V80" s="9"/>
      <c r="W80" s="9"/>
    </row>
    <row r="82" spans="9:13" x14ac:dyDescent="0.3">
      <c r="K82" s="56"/>
      <c r="L82" s="56"/>
      <c r="M82" s="56"/>
    </row>
    <row r="84" spans="9:13" x14ac:dyDescent="0.3">
      <c r="I84" s="182" t="s">
        <v>1457</v>
      </c>
    </row>
    <row r="85" spans="9:13" x14ac:dyDescent="0.3">
      <c r="K85" t="s">
        <v>1114</v>
      </c>
      <c r="L85" t="s">
        <v>1113</v>
      </c>
      <c r="M85" t="s">
        <v>1112</v>
      </c>
    </row>
    <row r="86" spans="9:13" x14ac:dyDescent="0.3">
      <c r="J86" t="s">
        <v>1369</v>
      </c>
      <c r="K86" s="4">
        <f>K68</f>
        <v>12925.759454610001</v>
      </c>
      <c r="L86" s="4">
        <f>L68</f>
        <v>12969.530241</v>
      </c>
      <c r="M86" s="4">
        <f>M68</f>
        <v>16024.020400000001</v>
      </c>
    </row>
    <row r="87" spans="9:13" x14ac:dyDescent="0.3">
      <c r="J87" t="s">
        <v>1456</v>
      </c>
      <c r="K87" s="56">
        <f>1000*K86/(K58*12)</f>
        <v>257.25976145629329</v>
      </c>
      <c r="L87" s="56">
        <f>1000*L86/(L58*12)</f>
        <v>261.56684093659248</v>
      </c>
      <c r="M87" s="56">
        <f>1000*M86/(M58*12)</f>
        <v>312.28602276270658</v>
      </c>
    </row>
    <row r="88" spans="9:13" x14ac:dyDescent="0.3">
      <c r="J88" t="s">
        <v>1364</v>
      </c>
      <c r="K88" s="136">
        <f>K70</f>
        <v>0.1111111111111111</v>
      </c>
      <c r="L88" s="136">
        <f>L70</f>
        <v>0.33333333333333331</v>
      </c>
      <c r="M88" s="136">
        <f>M70</f>
        <v>0.55555555555555558</v>
      </c>
    </row>
    <row r="90" spans="9:13" x14ac:dyDescent="0.3">
      <c r="L90" s="84" t="s">
        <v>1455</v>
      </c>
      <c r="M90" s="56">
        <f>SUMPRODUCT(K87:M87,K88:M88)</f>
        <v>289.2655997866226</v>
      </c>
    </row>
    <row r="91" spans="9:13" x14ac:dyDescent="0.3">
      <c r="L91" t="s">
        <v>1454</v>
      </c>
      <c r="M91" s="86">
        <f>1-SUM(C40:C43)</f>
        <v>0.86</v>
      </c>
    </row>
    <row r="92" spans="9:13" x14ac:dyDescent="0.3">
      <c r="L92" t="s">
        <v>1453</v>
      </c>
      <c r="M92" s="56">
        <f>M90/M91</f>
        <v>336.35534858909608</v>
      </c>
    </row>
    <row r="94" spans="9:13" x14ac:dyDescent="0.3">
      <c r="L94" t="s">
        <v>1351</v>
      </c>
      <c r="M94" s="56">
        <f>C61</f>
        <v>27.5</v>
      </c>
    </row>
    <row r="95" spans="9:13" x14ac:dyDescent="0.3">
      <c r="L95" t="s">
        <v>1168</v>
      </c>
      <c r="M95" s="5">
        <f>M94+M92</f>
        <v>363.85534858909608</v>
      </c>
    </row>
  </sheetData>
  <mergeCells count="4">
    <mergeCell ref="B10:G10"/>
    <mergeCell ref="B16:G16"/>
    <mergeCell ref="I16:M16"/>
    <mergeCell ref="I36:M36"/>
  </mergeCells>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E032F-34ED-4D59-96BF-B689F9F4C767}">
  <sheetPr>
    <tabColor theme="5" tint="0.39997558519241921"/>
  </sheetPr>
  <dimension ref="A1:P40"/>
  <sheetViews>
    <sheetView workbookViewId="0">
      <selection activeCell="Q46" sqref="Q46"/>
    </sheetView>
  </sheetViews>
  <sheetFormatPr defaultRowHeight="14.4" x14ac:dyDescent="0.3"/>
  <cols>
    <col min="3" max="3" width="17.6640625" customWidth="1"/>
    <col min="5" max="6" width="10.88671875" bestFit="1" customWidth="1"/>
    <col min="7" max="8" width="9.88671875" bestFit="1" customWidth="1"/>
    <col min="9" max="9" width="10.88671875" bestFit="1" customWidth="1"/>
    <col min="10" max="10" width="12.33203125" bestFit="1" customWidth="1"/>
    <col min="13" max="13" width="9.6640625" bestFit="1" customWidth="1"/>
  </cols>
  <sheetData>
    <row r="1" spans="1:8" ht="15" thickBot="1" x14ac:dyDescent="0.35">
      <c r="A1" t="s">
        <v>1143</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D12" t="s">
        <v>1142</v>
      </c>
    </row>
    <row r="13" spans="1:8" x14ac:dyDescent="0.3">
      <c r="C13" s="88">
        <v>100000</v>
      </c>
      <c r="D13" t="s">
        <v>1141</v>
      </c>
    </row>
    <row r="14" spans="1:8" x14ac:dyDescent="0.3">
      <c r="C14" s="55">
        <v>0.1</v>
      </c>
      <c r="D14" t="s">
        <v>1140</v>
      </c>
    </row>
    <row r="16" spans="1:8" x14ac:dyDescent="0.3">
      <c r="D16" t="s">
        <v>521</v>
      </c>
    </row>
    <row r="17" spans="3:16" x14ac:dyDescent="0.3">
      <c r="C17" t="s">
        <v>1136</v>
      </c>
      <c r="D17">
        <v>0.03</v>
      </c>
    </row>
    <row r="18" spans="3:16" x14ac:dyDescent="0.3">
      <c r="C18" t="s">
        <v>1135</v>
      </c>
      <c r="D18">
        <v>0.04</v>
      </c>
    </row>
    <row r="19" spans="3:16" x14ac:dyDescent="0.3">
      <c r="C19" t="s">
        <v>557</v>
      </c>
      <c r="D19">
        <v>0.04</v>
      </c>
    </row>
    <row r="20" spans="3:16" x14ac:dyDescent="0.3">
      <c r="C20" t="s">
        <v>1134</v>
      </c>
      <c r="D20">
        <v>0.01</v>
      </c>
    </row>
    <row r="21" spans="3:16" x14ac:dyDescent="0.3">
      <c r="C21" t="s">
        <v>1133</v>
      </c>
      <c r="D21" t="s">
        <v>1139</v>
      </c>
    </row>
    <row r="22" spans="3:16" ht="15" thickBot="1" x14ac:dyDescent="0.35"/>
    <row r="23" spans="3:16" ht="15" thickBot="1" x14ac:dyDescent="0.35">
      <c r="C23" s="375" t="s">
        <v>4</v>
      </c>
      <c r="D23" s="376"/>
      <c r="E23" s="376"/>
      <c r="F23" s="376"/>
      <c r="G23" s="376"/>
      <c r="H23" s="376"/>
      <c r="I23" s="376"/>
      <c r="J23" s="377"/>
      <c r="L23" s="375" t="s">
        <v>3</v>
      </c>
      <c r="M23" s="376"/>
      <c r="N23" s="376"/>
      <c r="O23" s="376"/>
      <c r="P23" s="377"/>
    </row>
    <row r="26" spans="3:16" x14ac:dyDescent="0.3">
      <c r="C26" t="s">
        <v>1138</v>
      </c>
      <c r="D26" t="s">
        <v>1137</v>
      </c>
      <c r="E26" t="s">
        <v>1136</v>
      </c>
      <c r="F26" t="s">
        <v>1135</v>
      </c>
      <c r="G26" t="s">
        <v>557</v>
      </c>
      <c r="H26" t="s">
        <v>1134</v>
      </c>
      <c r="I26" t="s">
        <v>1133</v>
      </c>
      <c r="J26" t="s">
        <v>247</v>
      </c>
    </row>
    <row r="27" spans="3:16" x14ac:dyDescent="0.3">
      <c r="C27">
        <v>0</v>
      </c>
      <c r="D27" s="146">
        <v>0.18987000000000001</v>
      </c>
      <c r="E27" s="88">
        <v>0</v>
      </c>
      <c r="F27" s="88">
        <v>0</v>
      </c>
      <c r="G27" s="88">
        <v>0</v>
      </c>
      <c r="H27" s="88">
        <v>0</v>
      </c>
      <c r="I27" s="88">
        <v>0</v>
      </c>
      <c r="J27" s="88">
        <v>0</v>
      </c>
    </row>
    <row r="28" spans="3:16" x14ac:dyDescent="0.3">
      <c r="C28" t="s">
        <v>1132</v>
      </c>
      <c r="D28" s="146">
        <v>0.05</v>
      </c>
      <c r="E28" s="88">
        <v>0</v>
      </c>
      <c r="F28" s="88">
        <v>15</v>
      </c>
      <c r="G28" s="88">
        <v>23</v>
      </c>
      <c r="H28" s="88">
        <v>13</v>
      </c>
      <c r="I28" s="88">
        <v>0</v>
      </c>
      <c r="J28" s="88">
        <v>51</v>
      </c>
    </row>
    <row r="29" spans="3:16" x14ac:dyDescent="0.3">
      <c r="C29" t="s">
        <v>1131</v>
      </c>
      <c r="D29" s="146">
        <v>0.23280000000000001</v>
      </c>
      <c r="E29" s="88">
        <v>25</v>
      </c>
      <c r="F29" s="88">
        <v>89</v>
      </c>
      <c r="G29" s="88">
        <v>66</v>
      </c>
      <c r="H29" s="88">
        <v>45</v>
      </c>
      <c r="I29" s="88">
        <v>16</v>
      </c>
      <c r="J29" s="88">
        <v>241</v>
      </c>
    </row>
    <row r="30" spans="3:16" x14ac:dyDescent="0.3">
      <c r="C30" t="s">
        <v>1130</v>
      </c>
      <c r="D30" s="146">
        <v>0.15</v>
      </c>
      <c r="E30" s="88">
        <v>272</v>
      </c>
      <c r="F30" s="88">
        <v>145</v>
      </c>
      <c r="G30" s="88">
        <v>113</v>
      </c>
      <c r="H30" s="88">
        <v>87</v>
      </c>
      <c r="I30" s="88">
        <v>105</v>
      </c>
      <c r="J30" s="88">
        <v>722</v>
      </c>
    </row>
    <row r="31" spans="3:16" x14ac:dyDescent="0.3">
      <c r="C31" t="s">
        <v>1129</v>
      </c>
      <c r="D31" s="146">
        <v>0.14000000000000001</v>
      </c>
      <c r="E31" s="88">
        <v>824</v>
      </c>
      <c r="F31" s="88">
        <v>538</v>
      </c>
      <c r="G31" s="88">
        <v>529</v>
      </c>
      <c r="H31" s="88">
        <v>245</v>
      </c>
      <c r="I31" s="88">
        <v>519</v>
      </c>
      <c r="J31" s="88">
        <v>2655</v>
      </c>
    </row>
    <row r="32" spans="3:16" x14ac:dyDescent="0.3">
      <c r="C32" t="s">
        <v>1128</v>
      </c>
      <c r="D32" s="146">
        <v>0.124</v>
      </c>
      <c r="E32" s="88">
        <v>1902</v>
      </c>
      <c r="F32" s="88">
        <v>960</v>
      </c>
      <c r="G32" s="88">
        <v>1200</v>
      </c>
      <c r="H32" s="88">
        <v>352</v>
      </c>
      <c r="I32" s="88">
        <v>750</v>
      </c>
      <c r="J32" s="88">
        <v>5164</v>
      </c>
    </row>
    <row r="33" spans="3:10" x14ac:dyDescent="0.3">
      <c r="C33" t="s">
        <v>1127</v>
      </c>
      <c r="D33" s="146">
        <v>4.5100000000000001E-2</v>
      </c>
      <c r="E33" s="88">
        <v>9837</v>
      </c>
      <c r="F33" s="88">
        <v>2937</v>
      </c>
      <c r="G33" s="88">
        <v>1969</v>
      </c>
      <c r="H33" s="88">
        <v>483</v>
      </c>
      <c r="I33" s="88">
        <v>1653</v>
      </c>
      <c r="J33" s="88">
        <v>16879</v>
      </c>
    </row>
    <row r="34" spans="3:10" x14ac:dyDescent="0.3">
      <c r="C34" t="s">
        <v>1126</v>
      </c>
      <c r="D34" s="146">
        <v>3.7499999999999999E-2</v>
      </c>
      <c r="E34" s="88">
        <v>21345</v>
      </c>
      <c r="F34" s="88">
        <v>7634</v>
      </c>
      <c r="G34" s="88">
        <v>4524</v>
      </c>
      <c r="H34" s="88">
        <v>872</v>
      </c>
      <c r="I34" s="88">
        <v>3567</v>
      </c>
      <c r="J34" s="88">
        <v>37942</v>
      </c>
    </row>
    <row r="35" spans="3:10" x14ac:dyDescent="0.3">
      <c r="C35" t="s">
        <v>1125</v>
      </c>
      <c r="D35" s="146">
        <v>2.2749999999999999E-2</v>
      </c>
      <c r="E35" s="88">
        <v>36421</v>
      </c>
      <c r="F35" s="88">
        <v>9360</v>
      </c>
      <c r="G35" s="88">
        <v>7202</v>
      </c>
      <c r="H35" s="88">
        <v>1265</v>
      </c>
      <c r="I35" s="88">
        <v>23232</v>
      </c>
      <c r="J35" s="88">
        <v>77480</v>
      </c>
    </row>
    <row r="36" spans="3:10" x14ac:dyDescent="0.3">
      <c r="C36" t="s">
        <v>1124</v>
      </c>
      <c r="D36" s="146">
        <v>6.2700000000000004E-3</v>
      </c>
      <c r="E36" s="88">
        <v>74532</v>
      </c>
      <c r="F36" s="88">
        <v>41576</v>
      </c>
      <c r="G36" s="88">
        <v>13610</v>
      </c>
      <c r="H36" s="88">
        <v>2959</v>
      </c>
      <c r="I36" s="88">
        <v>36323</v>
      </c>
      <c r="J36" s="88">
        <v>169000</v>
      </c>
    </row>
    <row r="37" spans="3:10" x14ac:dyDescent="0.3">
      <c r="C37" t="s">
        <v>1123</v>
      </c>
      <c r="D37" s="146">
        <v>1E-3</v>
      </c>
      <c r="E37" s="88">
        <v>205362</v>
      </c>
      <c r="F37" s="88">
        <v>104217</v>
      </c>
      <c r="G37" s="88">
        <v>17306</v>
      </c>
      <c r="H37" s="88">
        <v>5623</v>
      </c>
      <c r="I37" s="88">
        <v>53963</v>
      </c>
      <c r="J37" s="88">
        <v>386471</v>
      </c>
    </row>
    <row r="38" spans="3:10" x14ac:dyDescent="0.3">
      <c r="C38" t="s">
        <v>1122</v>
      </c>
      <c r="D38" s="146">
        <v>6.9999999999999999E-4</v>
      </c>
      <c r="E38" s="88">
        <v>436352</v>
      </c>
      <c r="F38" s="88">
        <v>144165</v>
      </c>
      <c r="G38" s="88">
        <v>24532</v>
      </c>
      <c r="H38" s="88">
        <v>12634</v>
      </c>
      <c r="I38" s="88">
        <v>150692</v>
      </c>
      <c r="J38" s="88">
        <v>768375</v>
      </c>
    </row>
    <row r="39" spans="3:10" x14ac:dyDescent="0.3">
      <c r="C39" t="s">
        <v>1121</v>
      </c>
      <c r="D39" s="146">
        <v>1.0000000000000001E-5</v>
      </c>
      <c r="E39" s="88">
        <v>870256</v>
      </c>
      <c r="F39" s="88">
        <v>252663</v>
      </c>
      <c r="G39" s="88">
        <v>30576</v>
      </c>
      <c r="H39" s="88">
        <v>36324</v>
      </c>
      <c r="I39" s="88">
        <v>435695</v>
      </c>
      <c r="J39" s="88">
        <v>1625514</v>
      </c>
    </row>
    <row r="40" spans="3:10" x14ac:dyDescent="0.3">
      <c r="E40" s="109"/>
      <c r="F40" s="109"/>
      <c r="G40" s="109"/>
      <c r="H40" s="109"/>
      <c r="I40" s="109" t="s">
        <v>1120</v>
      </c>
      <c r="J40" s="109">
        <v>7125.9473400000006</v>
      </c>
    </row>
  </sheetData>
  <mergeCells count="3">
    <mergeCell ref="C10:F10"/>
    <mergeCell ref="C23:J23"/>
    <mergeCell ref="L23:P23"/>
  </mergeCell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B0169-4760-445D-96EF-88FAE34F00C1}">
  <sheetPr>
    <tabColor theme="9" tint="0.59999389629810485"/>
  </sheetPr>
  <dimension ref="A1:X60"/>
  <sheetViews>
    <sheetView workbookViewId="0">
      <selection activeCell="I63" sqref="I63"/>
    </sheetView>
  </sheetViews>
  <sheetFormatPr defaultRowHeight="14.4" x14ac:dyDescent="0.3"/>
  <cols>
    <col min="3" max="3" width="17.6640625" customWidth="1"/>
    <col min="5" max="6" width="10.88671875" bestFit="1" customWidth="1"/>
    <col min="7" max="8" width="9.88671875" bestFit="1" customWidth="1"/>
    <col min="9" max="9" width="10.88671875" bestFit="1" customWidth="1"/>
    <col min="10" max="10" width="12.33203125" bestFit="1" customWidth="1"/>
    <col min="13" max="13" width="9.6640625" bestFit="1" customWidth="1"/>
  </cols>
  <sheetData>
    <row r="1" spans="1:8" ht="15" thickBot="1" x14ac:dyDescent="0.35">
      <c r="A1" t="s">
        <v>1143</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D12" t="s">
        <v>1142</v>
      </c>
    </row>
    <row r="13" spans="1:8" x14ac:dyDescent="0.3">
      <c r="C13" s="88">
        <v>100000</v>
      </c>
      <c r="D13" t="s">
        <v>1141</v>
      </c>
    </row>
    <row r="14" spans="1:8" x14ac:dyDescent="0.3">
      <c r="C14" s="55">
        <v>0.1</v>
      </c>
      <c r="D14" t="s">
        <v>1140</v>
      </c>
    </row>
    <row r="16" spans="1:8" x14ac:dyDescent="0.3">
      <c r="D16" t="s">
        <v>521</v>
      </c>
    </row>
    <row r="17" spans="3:16" x14ac:dyDescent="0.3">
      <c r="C17" t="s">
        <v>1136</v>
      </c>
      <c r="D17">
        <v>0.03</v>
      </c>
    </row>
    <row r="18" spans="3:16" x14ac:dyDescent="0.3">
      <c r="C18" t="s">
        <v>1135</v>
      </c>
      <c r="D18">
        <v>0.04</v>
      </c>
    </row>
    <row r="19" spans="3:16" x14ac:dyDescent="0.3">
      <c r="C19" t="s">
        <v>557</v>
      </c>
      <c r="D19">
        <v>0.04</v>
      </c>
    </row>
    <row r="20" spans="3:16" x14ac:dyDescent="0.3">
      <c r="C20" t="s">
        <v>1134</v>
      </c>
      <c r="D20">
        <v>0.01</v>
      </c>
    </row>
    <row r="21" spans="3:16" x14ac:dyDescent="0.3">
      <c r="C21" t="s">
        <v>1133</v>
      </c>
      <c r="D21" t="s">
        <v>1139</v>
      </c>
    </row>
    <row r="22" spans="3:16" ht="15" thickBot="1" x14ac:dyDescent="0.35"/>
    <row r="23" spans="3:16" ht="15" thickBot="1" x14ac:dyDescent="0.35">
      <c r="C23" s="375" t="s">
        <v>4</v>
      </c>
      <c r="D23" s="376"/>
      <c r="E23" s="376"/>
      <c r="F23" s="376"/>
      <c r="G23" s="376"/>
      <c r="H23" s="376"/>
      <c r="I23" s="376"/>
      <c r="J23" s="377"/>
      <c r="L23" s="375" t="s">
        <v>3</v>
      </c>
      <c r="M23" s="376"/>
      <c r="N23" s="376"/>
      <c r="O23" s="376"/>
      <c r="P23" s="377"/>
    </row>
    <row r="25" spans="3:16" x14ac:dyDescent="0.3">
      <c r="L25" s="183"/>
    </row>
    <row r="26" spans="3:16" x14ac:dyDescent="0.3">
      <c r="C26" t="s">
        <v>1138</v>
      </c>
      <c r="D26" t="s">
        <v>1137</v>
      </c>
      <c r="E26" t="s">
        <v>1136</v>
      </c>
      <c r="F26" t="s">
        <v>1135</v>
      </c>
      <c r="G26" t="s">
        <v>557</v>
      </c>
      <c r="H26" t="s">
        <v>1134</v>
      </c>
      <c r="I26" t="s">
        <v>1133</v>
      </c>
      <c r="J26" t="s">
        <v>247</v>
      </c>
      <c r="M26" t="s">
        <v>1485</v>
      </c>
    </row>
    <row r="27" spans="3:16" x14ac:dyDescent="0.3">
      <c r="C27">
        <v>0</v>
      </c>
      <c r="D27" s="146">
        <v>0.18987000000000001</v>
      </c>
      <c r="E27" s="88">
        <v>0</v>
      </c>
      <c r="F27" s="88">
        <v>0</v>
      </c>
      <c r="G27" s="88">
        <v>0</v>
      </c>
      <c r="H27" s="88">
        <v>0</v>
      </c>
      <c r="I27" s="88">
        <v>0</v>
      </c>
      <c r="J27" s="88">
        <v>0</v>
      </c>
      <c r="M27" s="88">
        <f t="shared" ref="M27:M39" si="0">MAX(J27-$C$13,0)</f>
        <v>0</v>
      </c>
    </row>
    <row r="28" spans="3:16" x14ac:dyDescent="0.3">
      <c r="C28" t="s">
        <v>1132</v>
      </c>
      <c r="D28" s="146">
        <v>0.05</v>
      </c>
      <c r="E28" s="88">
        <v>0</v>
      </c>
      <c r="F28" s="88">
        <v>15</v>
      </c>
      <c r="G28" s="88">
        <v>23</v>
      </c>
      <c r="H28" s="88">
        <v>13</v>
      </c>
      <c r="I28" s="88">
        <v>0</v>
      </c>
      <c r="J28" s="88">
        <v>51</v>
      </c>
      <c r="M28" s="88">
        <f t="shared" si="0"/>
        <v>0</v>
      </c>
    </row>
    <row r="29" spans="3:16" x14ac:dyDescent="0.3">
      <c r="C29" t="s">
        <v>1131</v>
      </c>
      <c r="D29" s="146">
        <v>0.23280000000000001</v>
      </c>
      <c r="E29" s="88">
        <v>25</v>
      </c>
      <c r="F29" s="88">
        <v>89</v>
      </c>
      <c r="G29" s="88">
        <v>66</v>
      </c>
      <c r="H29" s="88">
        <v>45</v>
      </c>
      <c r="I29" s="88">
        <v>16</v>
      </c>
      <c r="J29" s="88">
        <v>241</v>
      </c>
      <c r="M29" s="88">
        <f t="shared" si="0"/>
        <v>0</v>
      </c>
    </row>
    <row r="30" spans="3:16" x14ac:dyDescent="0.3">
      <c r="C30" t="s">
        <v>1130</v>
      </c>
      <c r="D30" s="146">
        <v>0.15</v>
      </c>
      <c r="E30" s="88">
        <v>272</v>
      </c>
      <c r="F30" s="88">
        <v>145</v>
      </c>
      <c r="G30" s="88">
        <v>113</v>
      </c>
      <c r="H30" s="88">
        <v>87</v>
      </c>
      <c r="I30" s="88">
        <v>105</v>
      </c>
      <c r="J30" s="88">
        <v>722</v>
      </c>
      <c r="M30" s="88">
        <f t="shared" si="0"/>
        <v>0</v>
      </c>
    </row>
    <row r="31" spans="3:16" x14ac:dyDescent="0.3">
      <c r="C31" t="s">
        <v>1129</v>
      </c>
      <c r="D31" s="146">
        <v>0.14000000000000001</v>
      </c>
      <c r="E31" s="88">
        <v>824</v>
      </c>
      <c r="F31" s="88">
        <v>538</v>
      </c>
      <c r="G31" s="88">
        <v>529</v>
      </c>
      <c r="H31" s="88">
        <v>245</v>
      </c>
      <c r="I31" s="88">
        <v>519</v>
      </c>
      <c r="J31" s="88">
        <v>2655</v>
      </c>
      <c r="M31" s="88">
        <f t="shared" si="0"/>
        <v>0</v>
      </c>
    </row>
    <row r="32" spans="3:16" x14ac:dyDescent="0.3">
      <c r="C32" t="s">
        <v>1128</v>
      </c>
      <c r="D32" s="146">
        <v>0.124</v>
      </c>
      <c r="E32" s="88">
        <v>1902</v>
      </c>
      <c r="F32" s="88">
        <v>960</v>
      </c>
      <c r="G32" s="88">
        <v>1200</v>
      </c>
      <c r="H32" s="88">
        <v>352</v>
      </c>
      <c r="I32" s="88">
        <v>750</v>
      </c>
      <c r="J32" s="88">
        <v>5164</v>
      </c>
      <c r="M32" s="88">
        <f t="shared" si="0"/>
        <v>0</v>
      </c>
    </row>
    <row r="33" spans="3:24" x14ac:dyDescent="0.3">
      <c r="C33" t="s">
        <v>1127</v>
      </c>
      <c r="D33" s="146">
        <v>4.5100000000000001E-2</v>
      </c>
      <c r="E33" s="88">
        <v>9837</v>
      </c>
      <c r="F33" s="88">
        <v>2937</v>
      </c>
      <c r="G33" s="88">
        <v>1969</v>
      </c>
      <c r="H33" s="88">
        <v>483</v>
      </c>
      <c r="I33" s="88">
        <v>1653</v>
      </c>
      <c r="J33" s="88">
        <v>16879</v>
      </c>
      <c r="M33" s="88">
        <f t="shared" si="0"/>
        <v>0</v>
      </c>
    </row>
    <row r="34" spans="3:24" x14ac:dyDescent="0.3">
      <c r="C34" t="s">
        <v>1126</v>
      </c>
      <c r="D34" s="146">
        <v>3.7499999999999999E-2</v>
      </c>
      <c r="E34" s="88">
        <v>21345</v>
      </c>
      <c r="F34" s="88">
        <v>7634</v>
      </c>
      <c r="G34" s="88">
        <v>4524</v>
      </c>
      <c r="H34" s="88">
        <v>872</v>
      </c>
      <c r="I34" s="88">
        <v>3567</v>
      </c>
      <c r="J34" s="88">
        <v>37942</v>
      </c>
      <c r="M34" s="88">
        <f t="shared" si="0"/>
        <v>0</v>
      </c>
    </row>
    <row r="35" spans="3:24" x14ac:dyDescent="0.3">
      <c r="C35" t="s">
        <v>1125</v>
      </c>
      <c r="D35" s="146">
        <v>2.2749999999999999E-2</v>
      </c>
      <c r="E35" s="88">
        <v>36421</v>
      </c>
      <c r="F35" s="88">
        <v>9360</v>
      </c>
      <c r="G35" s="88">
        <v>7202</v>
      </c>
      <c r="H35" s="88">
        <v>1265</v>
      </c>
      <c r="I35" s="88">
        <v>23232</v>
      </c>
      <c r="J35" s="88">
        <v>77480</v>
      </c>
      <c r="M35" s="88">
        <f t="shared" si="0"/>
        <v>0</v>
      </c>
    </row>
    <row r="36" spans="3:24" x14ac:dyDescent="0.3">
      <c r="C36" t="s">
        <v>1124</v>
      </c>
      <c r="D36" s="146">
        <v>6.2700000000000004E-3</v>
      </c>
      <c r="E36" s="88">
        <v>74532</v>
      </c>
      <c r="F36" s="88">
        <v>41576</v>
      </c>
      <c r="G36" s="88">
        <v>13610</v>
      </c>
      <c r="H36" s="88">
        <v>2959</v>
      </c>
      <c r="I36" s="88">
        <v>36323</v>
      </c>
      <c r="J36" s="88">
        <v>169000</v>
      </c>
      <c r="M36" s="88">
        <f t="shared" si="0"/>
        <v>69000</v>
      </c>
    </row>
    <row r="37" spans="3:24" x14ac:dyDescent="0.3">
      <c r="C37" t="s">
        <v>1123</v>
      </c>
      <c r="D37" s="146">
        <v>1E-3</v>
      </c>
      <c r="E37" s="88">
        <v>205362</v>
      </c>
      <c r="F37" s="88">
        <v>104217</v>
      </c>
      <c r="G37" s="88">
        <v>17306</v>
      </c>
      <c r="H37" s="88">
        <v>5623</v>
      </c>
      <c r="I37" s="88">
        <v>53963</v>
      </c>
      <c r="J37" s="88">
        <v>386471</v>
      </c>
      <c r="M37" s="88">
        <f t="shared" si="0"/>
        <v>286471</v>
      </c>
    </row>
    <row r="38" spans="3:24" x14ac:dyDescent="0.3">
      <c r="C38" t="s">
        <v>1122</v>
      </c>
      <c r="D38" s="146">
        <v>6.9999999999999999E-4</v>
      </c>
      <c r="E38" s="88">
        <v>436352</v>
      </c>
      <c r="F38" s="88">
        <v>144165</v>
      </c>
      <c r="G38" s="88">
        <v>24532</v>
      </c>
      <c r="H38" s="88">
        <v>12634</v>
      </c>
      <c r="I38" s="88">
        <v>150692</v>
      </c>
      <c r="J38" s="88">
        <v>768375</v>
      </c>
      <c r="M38" s="88">
        <f t="shared" si="0"/>
        <v>668375</v>
      </c>
    </row>
    <row r="39" spans="3:24" x14ac:dyDescent="0.3">
      <c r="C39" t="s">
        <v>1121</v>
      </c>
      <c r="D39" s="146">
        <v>1.0000000000000001E-5</v>
      </c>
      <c r="E39" s="88">
        <v>870256</v>
      </c>
      <c r="F39" s="88">
        <v>252663</v>
      </c>
      <c r="G39" s="88">
        <v>30576</v>
      </c>
      <c r="H39" s="88">
        <v>36324</v>
      </c>
      <c r="I39" s="88">
        <v>435695</v>
      </c>
      <c r="J39" s="88">
        <v>1625514</v>
      </c>
      <c r="M39" s="88">
        <f t="shared" si="0"/>
        <v>1525514</v>
      </c>
    </row>
    <row r="40" spans="3:24" x14ac:dyDescent="0.3">
      <c r="E40" s="109"/>
      <c r="F40" s="109"/>
      <c r="G40" s="109"/>
      <c r="H40" s="109"/>
      <c r="I40" s="109" t="s">
        <v>1120</v>
      </c>
      <c r="J40" s="109">
        <v>7125.9473400000006</v>
      </c>
      <c r="L40" s="88">
        <f>SUMPRODUCT(J27:J39,D27:D39)</f>
        <v>7125.9473400000006</v>
      </c>
      <c r="M40" s="88">
        <f>SUMPRODUCT(M27:M39,D27:D39)</f>
        <v>1202.2186400000001</v>
      </c>
    </row>
    <row r="42" spans="3:24" x14ac:dyDescent="0.3">
      <c r="L42" t="s">
        <v>1484</v>
      </c>
      <c r="M42" s="109">
        <f>M40*(1+$C$14)</f>
        <v>1322.4405040000001</v>
      </c>
    </row>
    <row r="44" spans="3:24" x14ac:dyDescent="0.3">
      <c r="L44" s="26" t="s">
        <v>287</v>
      </c>
      <c r="M44" s="26"/>
      <c r="N44" s="26">
        <f>D17</f>
        <v>0.03</v>
      </c>
      <c r="O44" s="26">
        <f>D18</f>
        <v>0.04</v>
      </c>
      <c r="P44" s="26">
        <f>D19</f>
        <v>0.04</v>
      </c>
      <c r="Q44" s="26">
        <f>D20</f>
        <v>0.01</v>
      </c>
      <c r="R44" s="321">
        <v>0.17046207867019464</v>
      </c>
      <c r="S44" s="9" t="s">
        <v>1483</v>
      </c>
      <c r="T44" s="9"/>
      <c r="U44" s="9"/>
      <c r="V44" s="9"/>
      <c r="W44" s="9"/>
      <c r="X44" s="9"/>
    </row>
    <row r="45" spans="3:24" x14ac:dyDescent="0.3">
      <c r="L45" t="s">
        <v>1138</v>
      </c>
      <c r="M45" t="s">
        <v>1137</v>
      </c>
      <c r="N45" t="s">
        <v>1136</v>
      </c>
      <c r="O45" t="s">
        <v>1135</v>
      </c>
      <c r="P45" t="s">
        <v>557</v>
      </c>
      <c r="Q45" t="s">
        <v>1134</v>
      </c>
      <c r="R45" t="s">
        <v>1133</v>
      </c>
      <c r="S45" t="s">
        <v>247</v>
      </c>
      <c r="T45" t="s">
        <v>1482</v>
      </c>
    </row>
    <row r="46" spans="3:24" x14ac:dyDescent="0.3">
      <c r="L46">
        <v>0</v>
      </c>
      <c r="M46" s="146">
        <v>0.18987000000000001</v>
      </c>
      <c r="N46" s="88">
        <f t="shared" ref="N46:N58" si="1">E27*(1+$N$44)</f>
        <v>0</v>
      </c>
      <c r="O46" s="88">
        <f t="shared" ref="O46:O58" si="2">F27*(1+$O$44)</f>
        <v>0</v>
      </c>
      <c r="P46" s="88">
        <f t="shared" ref="P46:P58" si="3">G27*(1+$P$44)</f>
        <v>0</v>
      </c>
      <c r="Q46" s="88">
        <f t="shared" ref="Q46:Q58" si="4">H27*(1+$Q$44)</f>
        <v>0</v>
      </c>
      <c r="R46" s="88">
        <f t="shared" ref="R46:R58" si="5">I27*(1+$R$44)</f>
        <v>0</v>
      </c>
      <c r="S46" s="88">
        <f t="shared" ref="S46:S58" si="6">SUM(N46:R46)</f>
        <v>0</v>
      </c>
      <c r="T46" s="88">
        <f t="shared" ref="T46:T58" si="7">IF(S46&lt;=$C$13,0,S46-$C$13)</f>
        <v>0</v>
      </c>
    </row>
    <row r="47" spans="3:24" x14ac:dyDescent="0.3">
      <c r="L47" t="s">
        <v>1132</v>
      </c>
      <c r="M47" s="146">
        <v>0.05</v>
      </c>
      <c r="N47" s="88">
        <f t="shared" si="1"/>
        <v>0</v>
      </c>
      <c r="O47" s="88">
        <f t="shared" si="2"/>
        <v>15.600000000000001</v>
      </c>
      <c r="P47" s="88">
        <f t="shared" si="3"/>
        <v>23.92</v>
      </c>
      <c r="Q47" s="88">
        <f t="shared" si="4"/>
        <v>13.13</v>
      </c>
      <c r="R47" s="88">
        <f t="shared" si="5"/>
        <v>0</v>
      </c>
      <c r="S47" s="88">
        <f t="shared" si="6"/>
        <v>52.650000000000006</v>
      </c>
      <c r="T47" s="88">
        <f t="shared" si="7"/>
        <v>0</v>
      </c>
    </row>
    <row r="48" spans="3:24" x14ac:dyDescent="0.3">
      <c r="L48" t="s">
        <v>1131</v>
      </c>
      <c r="M48" s="146">
        <v>0.23280000000000001</v>
      </c>
      <c r="N48" s="88">
        <f t="shared" si="1"/>
        <v>25.75</v>
      </c>
      <c r="O48" s="88">
        <f t="shared" si="2"/>
        <v>92.56</v>
      </c>
      <c r="P48" s="88">
        <f t="shared" si="3"/>
        <v>68.64</v>
      </c>
      <c r="Q48" s="88">
        <f t="shared" si="4"/>
        <v>45.45</v>
      </c>
      <c r="R48" s="88">
        <f t="shared" si="5"/>
        <v>18.727393258723115</v>
      </c>
      <c r="S48" s="88">
        <f t="shared" si="6"/>
        <v>251.12739325872309</v>
      </c>
      <c r="T48" s="88">
        <f t="shared" si="7"/>
        <v>0</v>
      </c>
    </row>
    <row r="49" spans="12:20" x14ac:dyDescent="0.3">
      <c r="L49" t="s">
        <v>1130</v>
      </c>
      <c r="M49" s="146">
        <v>0.15</v>
      </c>
      <c r="N49" s="88">
        <f t="shared" si="1"/>
        <v>280.16000000000003</v>
      </c>
      <c r="O49" s="88">
        <f t="shared" si="2"/>
        <v>150.80000000000001</v>
      </c>
      <c r="P49" s="88">
        <f t="shared" si="3"/>
        <v>117.52000000000001</v>
      </c>
      <c r="Q49" s="88">
        <f t="shared" si="4"/>
        <v>87.87</v>
      </c>
      <c r="R49" s="88">
        <f t="shared" si="5"/>
        <v>122.89851826037044</v>
      </c>
      <c r="S49" s="88">
        <f t="shared" si="6"/>
        <v>759.24851826037047</v>
      </c>
      <c r="T49" s="88">
        <f t="shared" si="7"/>
        <v>0</v>
      </c>
    </row>
    <row r="50" spans="12:20" x14ac:dyDescent="0.3">
      <c r="L50" t="s">
        <v>1129</v>
      </c>
      <c r="M50" s="146">
        <v>0.14000000000000001</v>
      </c>
      <c r="N50" s="88">
        <f t="shared" si="1"/>
        <v>848.72</v>
      </c>
      <c r="O50" s="88">
        <f t="shared" si="2"/>
        <v>559.52</v>
      </c>
      <c r="P50" s="88">
        <f t="shared" si="3"/>
        <v>550.16</v>
      </c>
      <c r="Q50" s="88">
        <f t="shared" si="4"/>
        <v>247.45</v>
      </c>
      <c r="R50" s="88">
        <f t="shared" si="5"/>
        <v>607.46981882983107</v>
      </c>
      <c r="S50" s="88">
        <f t="shared" si="6"/>
        <v>2813.3198188298311</v>
      </c>
      <c r="T50" s="88">
        <f t="shared" si="7"/>
        <v>0</v>
      </c>
    </row>
    <row r="51" spans="12:20" x14ac:dyDescent="0.3">
      <c r="L51" t="s">
        <v>1128</v>
      </c>
      <c r="M51" s="146">
        <v>0.124</v>
      </c>
      <c r="N51" s="88">
        <f t="shared" si="1"/>
        <v>1959.06</v>
      </c>
      <c r="O51" s="88">
        <f t="shared" si="2"/>
        <v>998.40000000000009</v>
      </c>
      <c r="P51" s="88">
        <f t="shared" si="3"/>
        <v>1248</v>
      </c>
      <c r="Q51" s="88">
        <f t="shared" si="4"/>
        <v>355.52</v>
      </c>
      <c r="R51" s="88">
        <f t="shared" si="5"/>
        <v>877.84655900264602</v>
      </c>
      <c r="S51" s="88">
        <f t="shared" si="6"/>
        <v>5438.8265590026458</v>
      </c>
      <c r="T51" s="88">
        <f t="shared" si="7"/>
        <v>0</v>
      </c>
    </row>
    <row r="52" spans="12:20" x14ac:dyDescent="0.3">
      <c r="L52" t="s">
        <v>1127</v>
      </c>
      <c r="M52" s="146">
        <v>4.5100000000000001E-2</v>
      </c>
      <c r="N52" s="88">
        <f t="shared" si="1"/>
        <v>10132.11</v>
      </c>
      <c r="O52" s="88">
        <f t="shared" si="2"/>
        <v>3054.48</v>
      </c>
      <c r="P52" s="88">
        <f t="shared" si="3"/>
        <v>2047.76</v>
      </c>
      <c r="Q52" s="88">
        <f t="shared" si="4"/>
        <v>487.83</v>
      </c>
      <c r="R52" s="88">
        <f t="shared" si="5"/>
        <v>1934.7738160418319</v>
      </c>
      <c r="S52" s="88">
        <f t="shared" si="6"/>
        <v>17656.953816041831</v>
      </c>
      <c r="T52" s="88">
        <f t="shared" si="7"/>
        <v>0</v>
      </c>
    </row>
    <row r="53" spans="12:20" x14ac:dyDescent="0.3">
      <c r="L53" t="s">
        <v>1126</v>
      </c>
      <c r="M53" s="146">
        <v>3.7499999999999999E-2</v>
      </c>
      <c r="N53" s="88">
        <f t="shared" si="1"/>
        <v>21985.350000000002</v>
      </c>
      <c r="O53" s="88">
        <f t="shared" si="2"/>
        <v>7939.3600000000006</v>
      </c>
      <c r="P53" s="88">
        <f t="shared" si="3"/>
        <v>4704.96</v>
      </c>
      <c r="Q53" s="88">
        <f t="shared" si="4"/>
        <v>880.72</v>
      </c>
      <c r="R53" s="88">
        <f t="shared" si="5"/>
        <v>4175.0382346165843</v>
      </c>
      <c r="S53" s="88">
        <f t="shared" si="6"/>
        <v>39685.428234616593</v>
      </c>
      <c r="T53" s="88">
        <f t="shared" si="7"/>
        <v>0</v>
      </c>
    </row>
    <row r="54" spans="12:20" x14ac:dyDescent="0.3">
      <c r="L54" t="s">
        <v>1125</v>
      </c>
      <c r="M54" s="146">
        <v>2.2749999999999999E-2</v>
      </c>
      <c r="N54" s="88">
        <f t="shared" si="1"/>
        <v>37513.629999999997</v>
      </c>
      <c r="O54" s="88">
        <f t="shared" si="2"/>
        <v>9734.4</v>
      </c>
      <c r="P54" s="88">
        <f t="shared" si="3"/>
        <v>7490.08</v>
      </c>
      <c r="Q54" s="88">
        <f t="shared" si="4"/>
        <v>1277.6500000000001</v>
      </c>
      <c r="R54" s="88">
        <f t="shared" si="5"/>
        <v>27192.175011665964</v>
      </c>
      <c r="S54" s="88">
        <f t="shared" si="6"/>
        <v>83207.935011665963</v>
      </c>
      <c r="T54" s="88">
        <f t="shared" si="7"/>
        <v>0</v>
      </c>
    </row>
    <row r="55" spans="12:20" x14ac:dyDescent="0.3">
      <c r="L55" t="s">
        <v>1124</v>
      </c>
      <c r="M55" s="146">
        <v>6.2700000000000004E-3</v>
      </c>
      <c r="N55" s="88">
        <f t="shared" si="1"/>
        <v>76767.960000000006</v>
      </c>
      <c r="O55" s="88">
        <f t="shared" si="2"/>
        <v>43239.040000000001</v>
      </c>
      <c r="P55" s="88">
        <f t="shared" si="3"/>
        <v>14154.4</v>
      </c>
      <c r="Q55" s="88">
        <f t="shared" si="4"/>
        <v>2988.59</v>
      </c>
      <c r="R55" s="88">
        <f t="shared" si="5"/>
        <v>42514.694083537484</v>
      </c>
      <c r="S55" s="88">
        <f t="shared" si="6"/>
        <v>179664.68408353749</v>
      </c>
      <c r="T55" s="88">
        <f t="shared" si="7"/>
        <v>79664.68408353749</v>
      </c>
    </row>
    <row r="56" spans="12:20" x14ac:dyDescent="0.3">
      <c r="L56" t="s">
        <v>1123</v>
      </c>
      <c r="M56" s="146">
        <v>1E-3</v>
      </c>
      <c r="N56" s="88">
        <f t="shared" si="1"/>
        <v>211522.86000000002</v>
      </c>
      <c r="O56" s="88">
        <f t="shared" si="2"/>
        <v>108385.68000000001</v>
      </c>
      <c r="P56" s="88">
        <f t="shared" si="3"/>
        <v>17998.240000000002</v>
      </c>
      <c r="Q56" s="88">
        <f t="shared" si="4"/>
        <v>5679.2300000000005</v>
      </c>
      <c r="R56" s="88">
        <f t="shared" si="5"/>
        <v>63161.645151279714</v>
      </c>
      <c r="S56" s="88">
        <f t="shared" si="6"/>
        <v>406747.6551512797</v>
      </c>
      <c r="T56" s="88">
        <f t="shared" si="7"/>
        <v>306747.6551512797</v>
      </c>
    </row>
    <row r="57" spans="12:20" x14ac:dyDescent="0.3">
      <c r="L57" t="s">
        <v>1122</v>
      </c>
      <c r="M57" s="146">
        <v>6.9999999999999999E-4</v>
      </c>
      <c r="N57" s="88">
        <f t="shared" si="1"/>
        <v>449442.56</v>
      </c>
      <c r="O57" s="88">
        <f t="shared" si="2"/>
        <v>149931.6</v>
      </c>
      <c r="P57" s="88">
        <f t="shared" si="3"/>
        <v>25513.280000000002</v>
      </c>
      <c r="Q57" s="88">
        <f t="shared" si="4"/>
        <v>12760.34</v>
      </c>
      <c r="R57" s="88">
        <f t="shared" si="5"/>
        <v>176379.27155896899</v>
      </c>
      <c r="S57" s="88">
        <f t="shared" si="6"/>
        <v>814027.05155896908</v>
      </c>
      <c r="T57" s="88">
        <f t="shared" si="7"/>
        <v>714027.05155896908</v>
      </c>
    </row>
    <row r="58" spans="12:20" x14ac:dyDescent="0.3">
      <c r="L58" t="s">
        <v>1121</v>
      </c>
      <c r="M58" s="146">
        <v>1.0000000000000001E-5</v>
      </c>
      <c r="N58" s="88">
        <f t="shared" si="1"/>
        <v>896363.68</v>
      </c>
      <c r="O58" s="88">
        <f t="shared" si="2"/>
        <v>262769.52</v>
      </c>
      <c r="P58" s="88">
        <f t="shared" si="3"/>
        <v>31799.040000000001</v>
      </c>
      <c r="Q58" s="88">
        <f t="shared" si="4"/>
        <v>36687.24</v>
      </c>
      <c r="R58" s="88">
        <f t="shared" si="5"/>
        <v>509964.47536621045</v>
      </c>
      <c r="S58" s="88">
        <f t="shared" si="6"/>
        <v>1737583.9553662105</v>
      </c>
      <c r="T58" s="88">
        <f t="shared" si="7"/>
        <v>1637583.9553662105</v>
      </c>
    </row>
    <row r="60" spans="12:20" x14ac:dyDescent="0.3">
      <c r="T60" s="88">
        <f>SUMPRODUCT(T46:T58,M46:M58)</f>
        <v>1322.4400000000003</v>
      </c>
    </row>
  </sheetData>
  <mergeCells count="3">
    <mergeCell ref="C10:F10"/>
    <mergeCell ref="C23:J23"/>
    <mergeCell ref="L23:P23"/>
  </mergeCells>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E30F-5D36-4F25-B9DC-87E925130F1F}">
  <sheetPr>
    <tabColor theme="5" tint="0.39997558519241921"/>
  </sheetPr>
  <dimension ref="A1:M95"/>
  <sheetViews>
    <sheetView workbookViewId="0">
      <selection activeCell="Q46" sqref="Q46"/>
    </sheetView>
  </sheetViews>
  <sheetFormatPr defaultRowHeight="14.4" x14ac:dyDescent="0.3"/>
  <cols>
    <col min="3" max="3" width="17.109375" customWidth="1"/>
    <col min="5" max="5" width="10.6640625" customWidth="1"/>
    <col min="9" max="9" width="27.6640625" customWidth="1"/>
    <col min="11" max="11" width="11.5546875" customWidth="1"/>
    <col min="12" max="12" width="13" bestFit="1" customWidth="1"/>
  </cols>
  <sheetData>
    <row r="1" spans="1:8" ht="15" thickBot="1" x14ac:dyDescent="0.35">
      <c r="A1" t="s">
        <v>1189</v>
      </c>
      <c r="C1" s="262"/>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D12" t="s">
        <v>1188</v>
      </c>
    </row>
    <row r="13" spans="1:8" x14ac:dyDescent="0.3">
      <c r="D13" t="s">
        <v>1187</v>
      </c>
    </row>
    <row r="14" spans="1:8" x14ac:dyDescent="0.3">
      <c r="D14" t="s">
        <v>1186</v>
      </c>
    </row>
    <row r="15" spans="1:8" x14ac:dyDescent="0.3">
      <c r="C15">
        <v>6000</v>
      </c>
      <c r="D15" t="s">
        <v>1185</v>
      </c>
    </row>
    <row r="17" spans="1:13" x14ac:dyDescent="0.3">
      <c r="C17">
        <v>0.03</v>
      </c>
      <c r="D17" t="s">
        <v>1184</v>
      </c>
    </row>
    <row r="18" spans="1:13" x14ac:dyDescent="0.3">
      <c r="C18" s="4">
        <v>875000</v>
      </c>
      <c r="D18" t="s">
        <v>1183</v>
      </c>
    </row>
    <row r="20" spans="1:13" ht="15" thickBot="1" x14ac:dyDescent="0.35"/>
    <row r="21" spans="1:13" ht="15" thickBot="1" x14ac:dyDescent="0.35">
      <c r="C21" s="375" t="s">
        <v>4</v>
      </c>
      <c r="D21" s="376"/>
      <c r="E21" s="376"/>
      <c r="F21" s="376"/>
      <c r="G21" s="377"/>
      <c r="I21" s="375" t="s">
        <v>3</v>
      </c>
      <c r="J21" s="376"/>
      <c r="K21" s="376"/>
      <c r="L21" s="376"/>
      <c r="M21" s="377"/>
    </row>
    <row r="22" spans="1:13" x14ac:dyDescent="0.3">
      <c r="A22" s="26" t="s">
        <v>155</v>
      </c>
    </row>
    <row r="23" spans="1:13" x14ac:dyDescent="0.3">
      <c r="C23" t="s">
        <v>1182</v>
      </c>
    </row>
    <row r="24" spans="1:13" x14ac:dyDescent="0.3">
      <c r="D24" t="s">
        <v>1181</v>
      </c>
      <c r="E24" t="s">
        <v>1180</v>
      </c>
      <c r="F24" t="s">
        <v>1179</v>
      </c>
    </row>
    <row r="25" spans="1:13" x14ac:dyDescent="0.3">
      <c r="C25" s="84" t="s">
        <v>1178</v>
      </c>
      <c r="D25" t="s">
        <v>1177</v>
      </c>
      <c r="E25" t="s">
        <v>1177</v>
      </c>
      <c r="F25" t="s">
        <v>1176</v>
      </c>
    </row>
    <row r="26" spans="1:13" x14ac:dyDescent="0.3">
      <c r="C26" s="84" t="s">
        <v>1175</v>
      </c>
      <c r="D26">
        <v>30</v>
      </c>
      <c r="E26" s="90">
        <v>1200</v>
      </c>
      <c r="F26">
        <v>125</v>
      </c>
    </row>
    <row r="27" spans="1:13" x14ac:dyDescent="0.3">
      <c r="C27" s="84" t="s">
        <v>1174</v>
      </c>
      <c r="D27">
        <v>10</v>
      </c>
      <c r="E27">
        <v>650</v>
      </c>
      <c r="F27">
        <v>200</v>
      </c>
    </row>
    <row r="28" spans="1:13" x14ac:dyDescent="0.3">
      <c r="C28" s="84" t="s">
        <v>1173</v>
      </c>
    </row>
    <row r="29" spans="1:13" x14ac:dyDescent="0.3">
      <c r="C29" s="84" t="s">
        <v>1172</v>
      </c>
      <c r="D29">
        <v>40</v>
      </c>
      <c r="E29" s="90">
        <v>1850</v>
      </c>
      <c r="F29">
        <v>325</v>
      </c>
    </row>
    <row r="30" spans="1:13" x14ac:dyDescent="0.3">
      <c r="C30" s="84" t="s">
        <v>1171</v>
      </c>
      <c r="D30" s="4">
        <v>74000</v>
      </c>
      <c r="E30" s="4">
        <v>3683000</v>
      </c>
      <c r="F30" s="4">
        <v>775000</v>
      </c>
    </row>
    <row r="31" spans="1:13" x14ac:dyDescent="0.3">
      <c r="C31" s="84" t="s">
        <v>1170</v>
      </c>
      <c r="D31" s="4">
        <v>0</v>
      </c>
      <c r="E31" s="4">
        <v>513000</v>
      </c>
      <c r="F31" s="4">
        <v>108000</v>
      </c>
    </row>
    <row r="32" spans="1:13" x14ac:dyDescent="0.3">
      <c r="C32" s="84" t="s">
        <v>1169</v>
      </c>
      <c r="D32" s="4">
        <v>74000</v>
      </c>
      <c r="E32" s="4">
        <v>3170000</v>
      </c>
      <c r="F32" s="4">
        <v>667000</v>
      </c>
    </row>
    <row r="33" spans="3:6" x14ac:dyDescent="0.3">
      <c r="C33" s="84" t="s">
        <v>1168</v>
      </c>
      <c r="D33" s="4">
        <v>88000</v>
      </c>
      <c r="E33" s="4">
        <v>4152000</v>
      </c>
      <c r="F33" s="4">
        <v>885600</v>
      </c>
    </row>
    <row r="34" spans="3:6" x14ac:dyDescent="0.3">
      <c r="C34" s="84" t="s">
        <v>1167</v>
      </c>
      <c r="D34">
        <v>0.9</v>
      </c>
      <c r="E34">
        <v>0.95</v>
      </c>
      <c r="F34">
        <v>1.1000000000000001</v>
      </c>
    </row>
    <row r="35" spans="3:6" x14ac:dyDescent="0.3">
      <c r="C35" s="84" t="s">
        <v>589</v>
      </c>
      <c r="D35">
        <v>1</v>
      </c>
      <c r="E35">
        <v>3</v>
      </c>
      <c r="F35">
        <v>4</v>
      </c>
    </row>
    <row r="36" spans="3:6" x14ac:dyDescent="0.3">
      <c r="C36" s="84" t="s">
        <v>1166</v>
      </c>
      <c r="D36" s="4">
        <v>500</v>
      </c>
      <c r="E36" s="4">
        <v>100</v>
      </c>
      <c r="F36" s="4">
        <v>250</v>
      </c>
    </row>
    <row r="39" spans="3:6" x14ac:dyDescent="0.3">
      <c r="C39" t="s">
        <v>1165</v>
      </c>
    </row>
    <row r="40" spans="3:6" x14ac:dyDescent="0.3">
      <c r="C40" t="s">
        <v>1164</v>
      </c>
    </row>
    <row r="41" spans="3:6" x14ac:dyDescent="0.3">
      <c r="D41" t="s">
        <v>1163</v>
      </c>
      <c r="E41" s="100">
        <v>175</v>
      </c>
    </row>
    <row r="42" spans="3:6" x14ac:dyDescent="0.3">
      <c r="D42" t="s">
        <v>1162</v>
      </c>
      <c r="E42" s="100">
        <v>350</v>
      </c>
    </row>
    <row r="43" spans="3:6" x14ac:dyDescent="0.3">
      <c r="C43" t="s">
        <v>1161</v>
      </c>
    </row>
    <row r="44" spans="3:6" x14ac:dyDescent="0.3">
      <c r="D44" t="s">
        <v>1160</v>
      </c>
      <c r="E44" s="100">
        <v>40</v>
      </c>
    </row>
    <row r="46" spans="3:6" x14ac:dyDescent="0.3">
      <c r="C46" t="s">
        <v>1159</v>
      </c>
    </row>
    <row r="47" spans="3:6" x14ac:dyDescent="0.3">
      <c r="D47" t="s">
        <v>511</v>
      </c>
      <c r="E47" t="s">
        <v>826</v>
      </c>
      <c r="F47" t="s">
        <v>1158</v>
      </c>
    </row>
    <row r="48" spans="3:6" x14ac:dyDescent="0.3">
      <c r="D48" s="57">
        <v>7.0000000000000001E-3</v>
      </c>
      <c r="E48" s="57">
        <v>8.9999999999999993E-3</v>
      </c>
      <c r="F48" s="57">
        <v>1.4999999999999999E-2</v>
      </c>
    </row>
    <row r="50" spans="3:7" x14ac:dyDescent="0.3">
      <c r="C50" t="s">
        <v>1157</v>
      </c>
    </row>
    <row r="51" spans="3:7" x14ac:dyDescent="0.3">
      <c r="D51" t="s">
        <v>1156</v>
      </c>
      <c r="E51" t="s">
        <v>1155</v>
      </c>
      <c r="F51" t="s">
        <v>1154</v>
      </c>
      <c r="G51" t="s">
        <v>1153</v>
      </c>
    </row>
    <row r="52" spans="3:7" x14ac:dyDescent="0.3">
      <c r="D52" t="s">
        <v>1152</v>
      </c>
      <c r="E52" s="111">
        <v>18</v>
      </c>
      <c r="F52" s="144">
        <v>0.1</v>
      </c>
      <c r="G52" s="144">
        <v>7.0000000000000007E-2</v>
      </c>
    </row>
    <row r="53" spans="3:7" x14ac:dyDescent="0.3">
      <c r="D53" t="s">
        <v>1151</v>
      </c>
      <c r="E53" s="111">
        <v>15</v>
      </c>
      <c r="F53" s="144">
        <v>0.08</v>
      </c>
      <c r="G53" s="144">
        <v>0.06</v>
      </c>
    </row>
    <row r="54" spans="3:7" x14ac:dyDescent="0.3">
      <c r="D54" t="s">
        <v>455</v>
      </c>
      <c r="E54" s="111">
        <v>12</v>
      </c>
      <c r="F54" s="144">
        <v>7.0000000000000007E-2</v>
      </c>
      <c r="G54" s="144">
        <v>0.05</v>
      </c>
    </row>
    <row r="55" spans="3:7" x14ac:dyDescent="0.3">
      <c r="D55" t="s">
        <v>1150</v>
      </c>
      <c r="E55" s="111">
        <v>10</v>
      </c>
      <c r="F55" s="144">
        <v>0.06</v>
      </c>
      <c r="G55" s="144">
        <v>0.04</v>
      </c>
    </row>
    <row r="57" spans="3:7" x14ac:dyDescent="0.3">
      <c r="C57" t="s">
        <v>1149</v>
      </c>
    </row>
    <row r="58" spans="3:7" x14ac:dyDescent="0.3">
      <c r="D58" t="s">
        <v>174</v>
      </c>
      <c r="E58" t="s">
        <v>604</v>
      </c>
    </row>
    <row r="59" spans="3:7" x14ac:dyDescent="0.3">
      <c r="D59" t="s">
        <v>1148</v>
      </c>
      <c r="E59">
        <v>0.9</v>
      </c>
    </row>
    <row r="60" spans="3:7" x14ac:dyDescent="0.3">
      <c r="D60" t="s">
        <v>1147</v>
      </c>
      <c r="E60">
        <v>1</v>
      </c>
    </row>
    <row r="61" spans="3:7" x14ac:dyDescent="0.3">
      <c r="D61" t="s">
        <v>1146</v>
      </c>
      <c r="E61">
        <v>1.1000000000000001</v>
      </c>
    </row>
    <row r="62" spans="3:7" x14ac:dyDescent="0.3">
      <c r="D62" t="s">
        <v>1145</v>
      </c>
      <c r="E62">
        <v>1.2</v>
      </c>
    </row>
    <row r="64" spans="3:7" x14ac:dyDescent="0.3">
      <c r="C64" t="s">
        <v>1144</v>
      </c>
    </row>
    <row r="65" spans="1:5" x14ac:dyDescent="0.3">
      <c r="D65" t="s">
        <v>67</v>
      </c>
      <c r="E65" t="s">
        <v>604</v>
      </c>
    </row>
    <row r="66" spans="1:5" x14ac:dyDescent="0.3">
      <c r="D66" s="100">
        <v>100</v>
      </c>
      <c r="E66">
        <v>0.85</v>
      </c>
    </row>
    <row r="67" spans="1:5" x14ac:dyDescent="0.3">
      <c r="D67" s="100">
        <v>250</v>
      </c>
      <c r="E67">
        <v>0.75</v>
      </c>
    </row>
    <row r="68" spans="1:5" x14ac:dyDescent="0.3">
      <c r="D68" s="100">
        <v>500</v>
      </c>
      <c r="E68">
        <v>0.7</v>
      </c>
    </row>
    <row r="70" spans="1:5" s="26" customFormat="1" x14ac:dyDescent="0.3">
      <c r="A70" s="26" t="s">
        <v>203</v>
      </c>
    </row>
    <row r="95" spans="12:12" x14ac:dyDescent="0.3">
      <c r="L95" s="56"/>
    </row>
  </sheetData>
  <mergeCells count="3">
    <mergeCell ref="C10:F10"/>
    <mergeCell ref="C21:G21"/>
    <mergeCell ref="I21:M2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0D467-AAE6-4503-BCD3-1C2328A58DDF}">
  <sheetPr>
    <tabColor theme="9" tint="0.59999389629810485"/>
  </sheetPr>
  <dimension ref="A1:O67"/>
  <sheetViews>
    <sheetView workbookViewId="0">
      <selection activeCell="I48" sqref="I48"/>
    </sheetView>
  </sheetViews>
  <sheetFormatPr defaultRowHeight="14.4" x14ac:dyDescent="0.3"/>
  <cols>
    <col min="3" max="3" width="15.88671875" customWidth="1"/>
    <col min="4" max="4" width="18.6640625" bestFit="1" customWidth="1"/>
    <col min="11" max="12" width="9.44140625" bestFit="1" customWidth="1"/>
  </cols>
  <sheetData>
    <row r="1" spans="1:8" ht="15" thickBot="1" x14ac:dyDescent="0.35">
      <c r="A1" t="s">
        <v>37</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s="56">
        <v>0</v>
      </c>
      <c r="D12" t="s">
        <v>36</v>
      </c>
    </row>
    <row r="13" spans="1:8" x14ac:dyDescent="0.3">
      <c r="C13" s="57">
        <v>0</v>
      </c>
      <c r="D13" t="s">
        <v>35</v>
      </c>
    </row>
    <row r="14" spans="1:8" x14ac:dyDescent="0.3">
      <c r="D14" t="s">
        <v>34</v>
      </c>
    </row>
    <row r="15" spans="1:8" x14ac:dyDescent="0.3">
      <c r="D15" t="s">
        <v>33</v>
      </c>
    </row>
    <row r="23" spans="1:13" x14ac:dyDescent="0.3">
      <c r="D23" t="s">
        <v>32</v>
      </c>
    </row>
    <row r="24" spans="1:13" x14ac:dyDescent="0.3">
      <c r="C24" s="56">
        <v>10</v>
      </c>
      <c r="D24" t="s">
        <v>31</v>
      </c>
    </row>
    <row r="25" spans="1:13" x14ac:dyDescent="0.3">
      <c r="C25" s="56">
        <v>10</v>
      </c>
      <c r="D25" t="s">
        <v>30</v>
      </c>
    </row>
    <row r="27" spans="1:13" x14ac:dyDescent="0.3">
      <c r="C27" s="56">
        <v>150</v>
      </c>
      <c r="D27" t="s">
        <v>29</v>
      </c>
    </row>
    <row r="28" spans="1:13" x14ac:dyDescent="0.3">
      <c r="C28" s="55">
        <v>0.2</v>
      </c>
      <c r="D28" t="s">
        <v>28</v>
      </c>
    </row>
    <row r="30" spans="1:13" ht="15" thickBot="1" x14ac:dyDescent="0.35"/>
    <row r="31" spans="1:13" ht="15" thickBot="1" x14ac:dyDescent="0.35">
      <c r="C31" s="375" t="s">
        <v>4</v>
      </c>
      <c r="D31" s="376"/>
      <c r="E31" s="376"/>
      <c r="F31" s="376"/>
      <c r="G31" s="377"/>
      <c r="I31" s="375" t="s">
        <v>3</v>
      </c>
      <c r="J31" s="376"/>
      <c r="K31" s="376"/>
      <c r="L31" s="376"/>
      <c r="M31" s="377"/>
    </row>
    <row r="32" spans="1:13" s="26" customFormat="1" x14ac:dyDescent="0.3">
      <c r="A32" s="26" t="s">
        <v>27</v>
      </c>
    </row>
    <row r="34" spans="3:15" x14ac:dyDescent="0.3">
      <c r="C34" s="382" t="s">
        <v>26</v>
      </c>
      <c r="D34" s="383"/>
      <c r="E34" s="383"/>
      <c r="F34" s="383"/>
      <c r="G34" s="384"/>
    </row>
    <row r="35" spans="3:15" x14ac:dyDescent="0.3">
      <c r="C35" s="54"/>
      <c r="D35" s="44"/>
      <c r="E35" s="53">
        <v>2017</v>
      </c>
      <c r="F35" s="52">
        <v>2018</v>
      </c>
      <c r="G35" s="51">
        <v>2019</v>
      </c>
      <c r="K35" s="23">
        <v>2018</v>
      </c>
      <c r="L35" s="23">
        <v>2019</v>
      </c>
    </row>
    <row r="36" spans="3:15" x14ac:dyDescent="0.3">
      <c r="C36" s="385" t="s">
        <v>25</v>
      </c>
      <c r="D36" s="44" t="s">
        <v>22</v>
      </c>
      <c r="E36" s="50">
        <v>45</v>
      </c>
      <c r="F36" s="49">
        <v>50</v>
      </c>
      <c r="G36" s="48">
        <v>55</v>
      </c>
      <c r="K36" s="4">
        <f>F36</f>
        <v>50</v>
      </c>
      <c r="L36" s="4">
        <f>G36</f>
        <v>55</v>
      </c>
      <c r="M36" s="9" t="s">
        <v>621</v>
      </c>
    </row>
    <row r="37" spans="3:15" x14ac:dyDescent="0.3">
      <c r="C37" s="380"/>
      <c r="D37" s="34" t="s">
        <v>21</v>
      </c>
      <c r="E37" s="47">
        <v>200</v>
      </c>
      <c r="F37" s="46">
        <v>190</v>
      </c>
      <c r="G37" s="45">
        <v>205</v>
      </c>
      <c r="K37" s="56">
        <f>K36*(1-F40)</f>
        <v>12.5</v>
      </c>
      <c r="L37" s="56">
        <f>L36*(1-G40)</f>
        <v>13.75</v>
      </c>
      <c r="M37" s="9" t="s">
        <v>620</v>
      </c>
      <c r="N37" s="9"/>
    </row>
    <row r="38" spans="3:15" x14ac:dyDescent="0.3">
      <c r="C38" s="380"/>
      <c r="D38" s="34" t="s">
        <v>20</v>
      </c>
      <c r="E38" s="47">
        <v>235</v>
      </c>
      <c r="F38" s="46">
        <v>245</v>
      </c>
      <c r="G38" s="45">
        <v>250</v>
      </c>
      <c r="K38" s="56">
        <f>F44</f>
        <v>1.5</v>
      </c>
      <c r="L38" s="56">
        <f>G44</f>
        <v>2</v>
      </c>
      <c r="M38" s="9" t="s">
        <v>619</v>
      </c>
      <c r="N38" s="9"/>
    </row>
    <row r="39" spans="3:15" x14ac:dyDescent="0.3">
      <c r="C39" s="380"/>
      <c r="D39" s="34" t="s">
        <v>19</v>
      </c>
      <c r="E39" s="47">
        <v>2585</v>
      </c>
      <c r="F39" s="46">
        <v>2675</v>
      </c>
      <c r="G39" s="45">
        <v>2700</v>
      </c>
      <c r="K39" s="56">
        <f>K37+K38+$C$12</f>
        <v>14</v>
      </c>
      <c r="L39" s="56">
        <f>L37+L38+$C$12</f>
        <v>15.75</v>
      </c>
      <c r="M39" s="9" t="s">
        <v>618</v>
      </c>
      <c r="N39" s="9"/>
    </row>
    <row r="40" spans="3:15" x14ac:dyDescent="0.3">
      <c r="C40" s="385" t="s">
        <v>24</v>
      </c>
      <c r="D40" s="44" t="s">
        <v>22</v>
      </c>
      <c r="E40" s="43">
        <v>0.7</v>
      </c>
      <c r="F40" s="42">
        <v>0.75</v>
      </c>
      <c r="G40" s="41">
        <v>0.75</v>
      </c>
      <c r="K40" s="56">
        <f>K39*(1+$C$13)</f>
        <v>14</v>
      </c>
      <c r="L40" s="56">
        <f>L39*(1+$C$13)</f>
        <v>15.75</v>
      </c>
      <c r="M40" s="9" t="s">
        <v>617</v>
      </c>
      <c r="N40" s="9"/>
    </row>
    <row r="41" spans="3:15" x14ac:dyDescent="0.3">
      <c r="C41" s="380"/>
      <c r="D41" s="34" t="s">
        <v>21</v>
      </c>
      <c r="E41" s="40">
        <v>0.15</v>
      </c>
      <c r="F41" s="39">
        <v>0.2</v>
      </c>
      <c r="G41" s="38">
        <v>0.25</v>
      </c>
      <c r="K41" s="56">
        <f>C24</f>
        <v>10</v>
      </c>
      <c r="L41" s="56">
        <f>C25</f>
        <v>10</v>
      </c>
      <c r="M41" s="9" t="s">
        <v>616</v>
      </c>
    </row>
    <row r="42" spans="3:15" x14ac:dyDescent="0.3">
      <c r="C42" s="380"/>
      <c r="D42" s="34" t="s">
        <v>20</v>
      </c>
      <c r="E42" s="40">
        <v>0.1</v>
      </c>
      <c r="F42" s="39">
        <v>0.12</v>
      </c>
      <c r="G42" s="38">
        <v>0.15</v>
      </c>
      <c r="K42" s="56">
        <f>K40-K41</f>
        <v>4</v>
      </c>
      <c r="L42" s="56">
        <f>L40-L41</f>
        <v>5.75</v>
      </c>
      <c r="M42" s="9" t="s">
        <v>615</v>
      </c>
      <c r="N42" s="9"/>
      <c r="O42" s="9"/>
    </row>
    <row r="43" spans="3:15" x14ac:dyDescent="0.3">
      <c r="C43" s="381"/>
      <c r="D43" s="30" t="s">
        <v>19</v>
      </c>
      <c r="E43" s="37">
        <v>0.08</v>
      </c>
      <c r="F43" s="36">
        <v>0.08</v>
      </c>
      <c r="G43" s="35">
        <v>0.1</v>
      </c>
    </row>
    <row r="44" spans="3:15" x14ac:dyDescent="0.3">
      <c r="C44" s="380" t="s">
        <v>23</v>
      </c>
      <c r="D44" s="34" t="s">
        <v>22</v>
      </c>
      <c r="E44" s="33">
        <v>1.5</v>
      </c>
      <c r="F44" s="32">
        <v>1.5</v>
      </c>
      <c r="G44" s="31">
        <v>2</v>
      </c>
      <c r="L44" s="5">
        <f>L42-K42</f>
        <v>1.75</v>
      </c>
      <c r="M44" t="s">
        <v>624</v>
      </c>
    </row>
    <row r="45" spans="3:15" x14ac:dyDescent="0.3">
      <c r="C45" s="380"/>
      <c r="D45" s="34" t="s">
        <v>21</v>
      </c>
      <c r="E45" s="33">
        <v>1.5</v>
      </c>
      <c r="F45" s="32">
        <v>1.5</v>
      </c>
      <c r="G45" s="31">
        <v>2</v>
      </c>
    </row>
    <row r="46" spans="3:15" x14ac:dyDescent="0.3">
      <c r="C46" s="380"/>
      <c r="D46" s="34" t="s">
        <v>20</v>
      </c>
      <c r="E46" s="33">
        <v>1.5</v>
      </c>
      <c r="F46" s="32">
        <v>1.5</v>
      </c>
      <c r="G46" s="31">
        <v>2</v>
      </c>
    </row>
    <row r="47" spans="3:15" x14ac:dyDescent="0.3">
      <c r="C47" s="381"/>
      <c r="D47" s="30" t="s">
        <v>19</v>
      </c>
      <c r="E47" s="29">
        <v>1.5</v>
      </c>
      <c r="F47" s="28">
        <v>1.5</v>
      </c>
      <c r="G47" s="27">
        <v>2</v>
      </c>
    </row>
    <row r="49" spans="1:15" s="26" customFormat="1" x14ac:dyDescent="0.3">
      <c r="A49" s="26" t="s">
        <v>18</v>
      </c>
    </row>
    <row r="54" spans="1:15" x14ac:dyDescent="0.3">
      <c r="L54" t="s">
        <v>623</v>
      </c>
    </row>
    <row r="55" spans="1:15" x14ac:dyDescent="0.3">
      <c r="K55" s="23">
        <v>2018</v>
      </c>
      <c r="L55" s="131" t="s">
        <v>622</v>
      </c>
    </row>
    <row r="56" spans="1:15" x14ac:dyDescent="0.3">
      <c r="K56" s="4">
        <f>F39</f>
        <v>2675</v>
      </c>
      <c r="L56" s="4">
        <f>G39</f>
        <v>2700</v>
      </c>
      <c r="M56" s="9" t="s">
        <v>621</v>
      </c>
    </row>
    <row r="57" spans="1:15" x14ac:dyDescent="0.3">
      <c r="K57" s="56">
        <f>K56*(1-F43)</f>
        <v>2461</v>
      </c>
      <c r="L57" s="56">
        <f>L56*(1-F43)</f>
        <v>2484</v>
      </c>
      <c r="M57" s="9" t="s">
        <v>620</v>
      </c>
      <c r="N57" s="9"/>
    </row>
    <row r="58" spans="1:15" x14ac:dyDescent="0.3">
      <c r="K58" s="56">
        <f>F47</f>
        <v>1.5</v>
      </c>
      <c r="L58" s="56">
        <f>F47</f>
        <v>1.5</v>
      </c>
      <c r="M58" s="9" t="s">
        <v>619</v>
      </c>
      <c r="N58" s="9"/>
    </row>
    <row r="59" spans="1:15" x14ac:dyDescent="0.3">
      <c r="K59" s="56">
        <f>K57+K58+$C$12</f>
        <v>2462.5</v>
      </c>
      <c r="L59" s="56">
        <f>L57+L58+$C$12</f>
        <v>2485.5</v>
      </c>
      <c r="M59" s="9" t="s">
        <v>618</v>
      </c>
      <c r="N59" s="9"/>
    </row>
    <row r="60" spans="1:15" x14ac:dyDescent="0.3">
      <c r="K60" s="56">
        <f>K59*(1+$C$13)</f>
        <v>2462.5</v>
      </c>
      <c r="L60" s="56">
        <f>L59*(1+$C$13)</f>
        <v>2485.5</v>
      </c>
      <c r="M60" s="9" t="s">
        <v>617</v>
      </c>
      <c r="N60" s="9"/>
    </row>
    <row r="61" spans="1:15" x14ac:dyDescent="0.3">
      <c r="K61" s="56">
        <f>C27</f>
        <v>150</v>
      </c>
      <c r="L61" s="56">
        <f>C27</f>
        <v>150</v>
      </c>
      <c r="M61" s="9" t="s">
        <v>616</v>
      </c>
    </row>
    <row r="62" spans="1:15" x14ac:dyDescent="0.3">
      <c r="K62" s="56">
        <f>K60-K61</f>
        <v>2312.5</v>
      </c>
      <c r="L62" s="56">
        <f>L60-L61</f>
        <v>2335.5</v>
      </c>
      <c r="M62" s="9" t="s">
        <v>615</v>
      </c>
      <c r="N62" s="9"/>
      <c r="O62" s="9"/>
    </row>
    <row r="64" spans="1:15" x14ac:dyDescent="0.3">
      <c r="L64" s="56">
        <f>L62</f>
        <v>2335.5</v>
      </c>
      <c r="M64" t="s">
        <v>614</v>
      </c>
    </row>
    <row r="65" spans="12:13" x14ac:dyDescent="0.3">
      <c r="L65" s="56">
        <f>K62</f>
        <v>2312.5</v>
      </c>
      <c r="M65" t="s">
        <v>613</v>
      </c>
    </row>
    <row r="67" spans="12:13" x14ac:dyDescent="0.3">
      <c r="L67" s="5">
        <f>L64-L65</f>
        <v>23</v>
      </c>
      <c r="M67" t="s">
        <v>612</v>
      </c>
    </row>
  </sheetData>
  <mergeCells count="7">
    <mergeCell ref="C44:C47"/>
    <mergeCell ref="C10:F10"/>
    <mergeCell ref="C31:G31"/>
    <mergeCell ref="I31:M31"/>
    <mergeCell ref="C34:G34"/>
    <mergeCell ref="C36:C39"/>
    <mergeCell ref="C40:C43"/>
  </mergeCells>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38F00-4672-4831-935A-5A6E69227D77}">
  <sheetPr>
    <tabColor theme="9" tint="0.59999389629810485"/>
  </sheetPr>
  <dimension ref="A1:U95"/>
  <sheetViews>
    <sheetView workbookViewId="0">
      <selection activeCell="I63" sqref="I63"/>
    </sheetView>
  </sheetViews>
  <sheetFormatPr defaultRowHeight="14.4" x14ac:dyDescent="0.3"/>
  <cols>
    <col min="3" max="3" width="17.109375" customWidth="1"/>
    <col min="5" max="5" width="10.6640625" customWidth="1"/>
    <col min="9" max="9" width="27.6640625" customWidth="1"/>
    <col min="11" max="11" width="11.5546875" customWidth="1"/>
    <col min="12" max="12" width="13" bestFit="1" customWidth="1"/>
  </cols>
  <sheetData>
    <row r="1" spans="1:8" ht="15" thickBot="1" x14ac:dyDescent="0.35">
      <c r="A1" t="s">
        <v>1189</v>
      </c>
      <c r="C1" s="262"/>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D12" t="s">
        <v>1188</v>
      </c>
    </row>
    <row r="13" spans="1:8" x14ac:dyDescent="0.3">
      <c r="D13" t="s">
        <v>1187</v>
      </c>
    </row>
    <row r="14" spans="1:8" x14ac:dyDescent="0.3">
      <c r="D14" t="s">
        <v>1186</v>
      </c>
    </row>
    <row r="15" spans="1:8" x14ac:dyDescent="0.3">
      <c r="C15">
        <v>6000</v>
      </c>
      <c r="D15" t="s">
        <v>1185</v>
      </c>
    </row>
    <row r="17" spans="1:13" x14ac:dyDescent="0.3">
      <c r="C17">
        <v>0.03</v>
      </c>
      <c r="D17" t="s">
        <v>1184</v>
      </c>
    </row>
    <row r="18" spans="1:13" x14ac:dyDescent="0.3">
      <c r="C18" s="4">
        <v>875000</v>
      </c>
      <c r="D18" t="s">
        <v>1183</v>
      </c>
    </row>
    <row r="20" spans="1:13" ht="15" thickBot="1" x14ac:dyDescent="0.35"/>
    <row r="21" spans="1:13" ht="15" thickBot="1" x14ac:dyDescent="0.35">
      <c r="C21" s="375" t="s">
        <v>4</v>
      </c>
      <c r="D21" s="376"/>
      <c r="E21" s="376"/>
      <c r="F21" s="376"/>
      <c r="G21" s="377"/>
      <c r="I21" s="375" t="s">
        <v>3</v>
      </c>
      <c r="J21" s="376"/>
      <c r="K21" s="376"/>
      <c r="L21" s="376"/>
      <c r="M21" s="377"/>
    </row>
    <row r="22" spans="1:13" x14ac:dyDescent="0.3">
      <c r="A22" s="26" t="s">
        <v>155</v>
      </c>
    </row>
    <row r="23" spans="1:13" x14ac:dyDescent="0.3">
      <c r="C23" t="s">
        <v>1182</v>
      </c>
    </row>
    <row r="24" spans="1:13" x14ac:dyDescent="0.3">
      <c r="D24" t="s">
        <v>1181</v>
      </c>
      <c r="E24" t="s">
        <v>1180</v>
      </c>
      <c r="F24" t="s">
        <v>1179</v>
      </c>
      <c r="J24" t="str">
        <f>D24</f>
        <v>Group 1</v>
      </c>
      <c r="K24" t="str">
        <f>E24</f>
        <v>Group 2</v>
      </c>
      <c r="L24" t="str">
        <f>F24</f>
        <v>Group 3</v>
      </c>
    </row>
    <row r="25" spans="1:13" x14ac:dyDescent="0.3">
      <c r="C25" s="84" t="s">
        <v>1178</v>
      </c>
      <c r="D25" t="s">
        <v>1177</v>
      </c>
      <c r="E25" t="s">
        <v>1177</v>
      </c>
      <c r="F25" t="s">
        <v>1176</v>
      </c>
    </row>
    <row r="26" spans="1:13" x14ac:dyDescent="0.3">
      <c r="C26" s="84" t="s">
        <v>1175</v>
      </c>
      <c r="D26">
        <v>30</v>
      </c>
      <c r="E26" s="90">
        <v>1200</v>
      </c>
      <c r="F26">
        <v>125</v>
      </c>
      <c r="I26" t="s">
        <v>647</v>
      </c>
      <c r="J26" s="4">
        <f>D30</f>
        <v>74000</v>
      </c>
      <c r="K26" s="4">
        <f>E30</f>
        <v>3683000</v>
      </c>
      <c r="L26" s="4">
        <f>F30</f>
        <v>775000</v>
      </c>
    </row>
    <row r="27" spans="1:13" x14ac:dyDescent="0.3">
      <c r="C27" s="84" t="s">
        <v>1174</v>
      </c>
      <c r="D27">
        <v>10</v>
      </c>
      <c r="E27">
        <v>650</v>
      </c>
      <c r="F27">
        <v>200</v>
      </c>
      <c r="I27" t="s">
        <v>1499</v>
      </c>
      <c r="J27">
        <f>D29</f>
        <v>40</v>
      </c>
      <c r="K27">
        <f>E29</f>
        <v>1850</v>
      </c>
      <c r="L27">
        <f>F29</f>
        <v>325</v>
      </c>
    </row>
    <row r="28" spans="1:13" x14ac:dyDescent="0.3">
      <c r="C28" s="84" t="s">
        <v>1173</v>
      </c>
      <c r="I28" t="str">
        <f>C31</f>
        <v>Amount of claims &gt; $50,000</v>
      </c>
      <c r="J28" s="4">
        <f>D31</f>
        <v>0</v>
      </c>
      <c r="K28" s="4">
        <f>E31</f>
        <v>513000</v>
      </c>
      <c r="L28" s="4">
        <f>F31</f>
        <v>108000</v>
      </c>
    </row>
    <row r="29" spans="1:13" x14ac:dyDescent="0.3">
      <c r="C29" s="84" t="s">
        <v>1172</v>
      </c>
      <c r="D29">
        <v>40</v>
      </c>
      <c r="E29" s="90">
        <v>1850</v>
      </c>
      <c r="F29">
        <v>325</v>
      </c>
      <c r="I29" t="s">
        <v>1498</v>
      </c>
      <c r="J29" s="4">
        <f>J26-J28</f>
        <v>74000</v>
      </c>
      <c r="K29" s="4">
        <f>K26-K28</f>
        <v>3170000</v>
      </c>
      <c r="L29" s="4">
        <f>L26-L28</f>
        <v>667000</v>
      </c>
    </row>
    <row r="30" spans="1:13" x14ac:dyDescent="0.3">
      <c r="C30" s="84" t="s">
        <v>1171</v>
      </c>
      <c r="D30" s="4">
        <v>74000</v>
      </c>
      <c r="E30" s="4">
        <v>3683000</v>
      </c>
      <c r="F30" s="4">
        <v>775000</v>
      </c>
    </row>
    <row r="31" spans="1:13" x14ac:dyDescent="0.3">
      <c r="C31" s="84" t="s">
        <v>1170</v>
      </c>
      <c r="D31" s="4">
        <v>0</v>
      </c>
      <c r="E31" s="4">
        <v>513000</v>
      </c>
      <c r="F31" s="4">
        <v>108000</v>
      </c>
      <c r="I31" t="s">
        <v>1497</v>
      </c>
      <c r="J31" s="56">
        <f>J29/(12*J27)</f>
        <v>154.16666666666666</v>
      </c>
      <c r="K31" s="56">
        <f>K29/(12*K27)</f>
        <v>142.7927927927928</v>
      </c>
      <c r="L31" s="56">
        <f>L29/(12*L27)</f>
        <v>171.02564102564102</v>
      </c>
    </row>
    <row r="32" spans="1:13" x14ac:dyDescent="0.3">
      <c r="C32" s="84" t="s">
        <v>1169</v>
      </c>
      <c r="D32" s="4">
        <v>74000</v>
      </c>
      <c r="E32" s="4">
        <v>3170000</v>
      </c>
      <c r="F32" s="4">
        <v>667000</v>
      </c>
    </row>
    <row r="33" spans="3:12" x14ac:dyDescent="0.3">
      <c r="C33" s="84" t="s">
        <v>1168</v>
      </c>
      <c r="D33" s="4">
        <v>88000</v>
      </c>
      <c r="E33" s="4">
        <v>4152000</v>
      </c>
      <c r="F33" s="4">
        <v>885600</v>
      </c>
      <c r="I33" t="s">
        <v>287</v>
      </c>
    </row>
    <row r="34" spans="3:12" x14ac:dyDescent="0.3">
      <c r="C34" s="84" t="s">
        <v>1167</v>
      </c>
      <c r="D34">
        <v>0.9</v>
      </c>
      <c r="E34">
        <v>0.95</v>
      </c>
      <c r="F34">
        <v>1.1000000000000001</v>
      </c>
      <c r="I34" t="s">
        <v>511</v>
      </c>
      <c r="J34">
        <v>0</v>
      </c>
      <c r="K34">
        <v>0</v>
      </c>
      <c r="L34">
        <v>0</v>
      </c>
    </row>
    <row r="35" spans="3:12" x14ac:dyDescent="0.3">
      <c r="C35" s="84" t="s">
        <v>589</v>
      </c>
      <c r="D35">
        <v>1</v>
      </c>
      <c r="E35">
        <v>3</v>
      </c>
      <c r="F35">
        <v>4</v>
      </c>
      <c r="I35" t="s">
        <v>826</v>
      </c>
      <c r="J35">
        <v>12</v>
      </c>
      <c r="K35">
        <v>12</v>
      </c>
      <c r="L35">
        <v>12</v>
      </c>
    </row>
    <row r="36" spans="3:12" x14ac:dyDescent="0.3">
      <c r="C36" s="84" t="s">
        <v>1166</v>
      </c>
      <c r="D36" s="4">
        <v>500</v>
      </c>
      <c r="E36" s="4">
        <v>100</v>
      </c>
      <c r="F36" s="4">
        <v>250</v>
      </c>
      <c r="I36" t="s">
        <v>1158</v>
      </c>
      <c r="J36">
        <v>6</v>
      </c>
      <c r="K36">
        <v>6</v>
      </c>
      <c r="L36">
        <v>9</v>
      </c>
    </row>
    <row r="37" spans="3:12" x14ac:dyDescent="0.3">
      <c r="I37" t="s">
        <v>774</v>
      </c>
      <c r="J37">
        <f>(1+$D$48)^J34*(1+$E$48)^J35*(1+$F$48)^J36</f>
        <v>1.2175596534163269</v>
      </c>
      <c r="K37">
        <f>(1+$D$48)^K34*(1+$E$48)^K35*(1+$F$48)^K36</f>
        <v>1.2175596534163269</v>
      </c>
      <c r="L37">
        <f>(1+$D$48)^L34*(1+$E$48)^L35*(1+$F$48)^L36</f>
        <v>1.2731757998499473</v>
      </c>
    </row>
    <row r="39" spans="3:12" x14ac:dyDescent="0.3">
      <c r="C39" t="s">
        <v>1165</v>
      </c>
      <c r="I39" t="s">
        <v>1496</v>
      </c>
      <c r="J39" s="56">
        <f>J31*J37</f>
        <v>187.70711323501706</v>
      </c>
      <c r="K39" s="56">
        <f>K31*K37</f>
        <v>173.85874330314218</v>
      </c>
      <c r="L39" s="56">
        <f>L31*L37</f>
        <v>217.74570730767047</v>
      </c>
    </row>
    <row r="40" spans="3:12" x14ac:dyDescent="0.3">
      <c r="C40" t="s">
        <v>1164</v>
      </c>
      <c r="I40" t="str">
        <f>D44</f>
        <v>Pooling charge per employee</v>
      </c>
      <c r="J40" s="56">
        <f>$E$44</f>
        <v>40</v>
      </c>
      <c r="K40" s="56">
        <f>$E$44</f>
        <v>40</v>
      </c>
      <c r="L40" s="56">
        <f>$E$44*(1+$F$48)^3</f>
        <v>41.827134999999984</v>
      </c>
    </row>
    <row r="41" spans="3:12" x14ac:dyDescent="0.3">
      <c r="D41" t="s">
        <v>1163</v>
      </c>
      <c r="E41" s="100">
        <v>175</v>
      </c>
    </row>
    <row r="42" spans="3:12" x14ac:dyDescent="0.3">
      <c r="D42" t="s">
        <v>1162</v>
      </c>
      <c r="E42" s="100">
        <v>350</v>
      </c>
      <c r="I42" t="s">
        <v>1495</v>
      </c>
      <c r="J42" s="56">
        <f>J39+J40</f>
        <v>227.70711323501706</v>
      </c>
      <c r="K42" s="56">
        <f>K39+K40</f>
        <v>213.85874330314218</v>
      </c>
      <c r="L42" s="56">
        <f>L39+L40</f>
        <v>259.57284230767044</v>
      </c>
    </row>
    <row r="43" spans="3:12" x14ac:dyDescent="0.3">
      <c r="C43" t="s">
        <v>1161</v>
      </c>
    </row>
    <row r="44" spans="3:12" x14ac:dyDescent="0.3">
      <c r="D44" t="s">
        <v>1160</v>
      </c>
      <c r="E44" s="100">
        <v>40</v>
      </c>
      <c r="I44" t="s">
        <v>1494</v>
      </c>
      <c r="J44" s="56">
        <f>($E$41*D26+$E$42*D27)/D29</f>
        <v>218.75</v>
      </c>
      <c r="K44" s="56">
        <f>($E$41*E26+$E$42*E27)/E29</f>
        <v>236.48648648648648</v>
      </c>
      <c r="L44" s="56">
        <f>($E$41*F26+$E$42*F27)/F29</f>
        <v>282.69230769230768</v>
      </c>
    </row>
    <row r="45" spans="3:12" x14ac:dyDescent="0.3">
      <c r="I45" t="s">
        <v>287</v>
      </c>
      <c r="J45">
        <v>1</v>
      </c>
      <c r="K45">
        <v>1</v>
      </c>
      <c r="L45">
        <f>(1+$F$48)^3</f>
        <v>1.0456783749999996</v>
      </c>
    </row>
    <row r="46" spans="3:12" x14ac:dyDescent="0.3">
      <c r="C46" t="s">
        <v>1159</v>
      </c>
      <c r="I46" t="s">
        <v>689</v>
      </c>
      <c r="J46">
        <f>D34</f>
        <v>0.9</v>
      </c>
      <c r="K46">
        <f>E34</f>
        <v>0.95</v>
      </c>
      <c r="L46">
        <f>F34</f>
        <v>1.1000000000000001</v>
      </c>
    </row>
    <row r="47" spans="3:12" x14ac:dyDescent="0.3">
      <c r="D47" t="s">
        <v>511</v>
      </c>
      <c r="E47" t="s">
        <v>826</v>
      </c>
      <c r="F47" t="s">
        <v>1158</v>
      </c>
      <c r="I47" t="s">
        <v>174</v>
      </c>
      <c r="J47">
        <f>E59</f>
        <v>0.9</v>
      </c>
      <c r="K47">
        <f>E61</f>
        <v>1.1000000000000001</v>
      </c>
      <c r="L47">
        <f>E62</f>
        <v>1.2</v>
      </c>
    </row>
    <row r="48" spans="3:12" x14ac:dyDescent="0.3">
      <c r="D48" s="57">
        <v>7.0000000000000001E-3</v>
      </c>
      <c r="E48" s="57">
        <v>8.9999999999999993E-3</v>
      </c>
      <c r="F48" s="57">
        <v>1.4999999999999999E-2</v>
      </c>
      <c r="I48" t="s">
        <v>1493</v>
      </c>
      <c r="J48">
        <f>E68</f>
        <v>0.7</v>
      </c>
      <c r="K48">
        <f>E66</f>
        <v>0.85</v>
      </c>
      <c r="L48">
        <f>E67</f>
        <v>0.75</v>
      </c>
    </row>
    <row r="50" spans="3:12" x14ac:dyDescent="0.3">
      <c r="C50" t="s">
        <v>1157</v>
      </c>
      <c r="J50" s="56">
        <f>PRODUCT(J44:J48)</f>
        <v>124.03124999999999</v>
      </c>
      <c r="K50" s="56">
        <f>PRODUCT(K44:K48)</f>
        <v>210.05912162162161</v>
      </c>
      <c r="L50" s="56">
        <f>PRODUCT(L44:L48)</f>
        <v>292.64918060336521</v>
      </c>
    </row>
    <row r="51" spans="3:12" x14ac:dyDescent="0.3">
      <c r="D51" t="s">
        <v>1156</v>
      </c>
      <c r="E51" t="s">
        <v>1155</v>
      </c>
      <c r="F51" t="s">
        <v>1154</v>
      </c>
      <c r="G51" t="s">
        <v>1153</v>
      </c>
    </row>
    <row r="52" spans="3:12" x14ac:dyDescent="0.3">
      <c r="D52" t="s">
        <v>1152</v>
      </c>
      <c r="E52" s="111">
        <v>18</v>
      </c>
      <c r="F52" s="144">
        <v>0.1</v>
      </c>
      <c r="G52" s="144">
        <v>7.0000000000000007E-2</v>
      </c>
      <c r="I52" t="s">
        <v>1364</v>
      </c>
      <c r="J52">
        <f>MIN((12*J27)/$C$15,1)</f>
        <v>0.08</v>
      </c>
      <c r="K52">
        <f>MIN((12*K27)/$C$15,1)</f>
        <v>1</v>
      </c>
      <c r="L52">
        <f>MIN((12*L27)/$C$15,1)</f>
        <v>0.65</v>
      </c>
    </row>
    <row r="53" spans="3:12" x14ac:dyDescent="0.3">
      <c r="D53" t="s">
        <v>1151</v>
      </c>
      <c r="E53" s="111">
        <v>15</v>
      </c>
      <c r="F53" s="144">
        <v>0.08</v>
      </c>
      <c r="G53" s="144">
        <v>0.06</v>
      </c>
    </row>
    <row r="54" spans="3:12" x14ac:dyDescent="0.3">
      <c r="D54" t="s">
        <v>455</v>
      </c>
      <c r="E54" s="111">
        <v>12</v>
      </c>
      <c r="F54" s="144">
        <v>7.0000000000000007E-2</v>
      </c>
      <c r="G54" s="144">
        <v>0.05</v>
      </c>
      <c r="I54" t="s">
        <v>1492</v>
      </c>
      <c r="J54" s="56">
        <f>J42*J52+J50*(1-J52)</f>
        <v>132.32531905880134</v>
      </c>
      <c r="K54" s="56">
        <f>K42*K52+K50*(1-K52)</f>
        <v>213.85874330314218</v>
      </c>
      <c r="L54" s="56">
        <f>L42*L52+L50*(1-L52)</f>
        <v>271.14956071116364</v>
      </c>
    </row>
    <row r="55" spans="3:12" x14ac:dyDescent="0.3">
      <c r="D55" t="s">
        <v>1150</v>
      </c>
      <c r="E55" s="111">
        <v>10</v>
      </c>
      <c r="F55" s="144">
        <v>0.06</v>
      </c>
      <c r="G55" s="144">
        <v>0.04</v>
      </c>
    </row>
    <row r="56" spans="3:12" x14ac:dyDescent="0.3">
      <c r="I56" t="s">
        <v>1297</v>
      </c>
      <c r="J56" s="5">
        <f>(J54+E52)/(1-F52-G52)</f>
        <v>181.11484223951967</v>
      </c>
      <c r="K56" s="5">
        <f>(K54+E55)/(1-F55-G55)</f>
        <v>248.73193700349134</v>
      </c>
      <c r="L56" s="5">
        <f>(L54+E54)/(1-F54-G54)</f>
        <v>321.76086444450419</v>
      </c>
    </row>
    <row r="57" spans="3:12" x14ac:dyDescent="0.3">
      <c r="C57" t="s">
        <v>1149</v>
      </c>
    </row>
    <row r="58" spans="3:12" x14ac:dyDescent="0.3">
      <c r="D58" t="s">
        <v>174</v>
      </c>
      <c r="E58" t="s">
        <v>604</v>
      </c>
    </row>
    <row r="59" spans="3:12" x14ac:dyDescent="0.3">
      <c r="D59" t="s">
        <v>1148</v>
      </c>
      <c r="E59">
        <v>0.9</v>
      </c>
    </row>
    <row r="60" spans="3:12" x14ac:dyDescent="0.3">
      <c r="D60" t="s">
        <v>1147</v>
      </c>
      <c r="E60">
        <v>1</v>
      </c>
    </row>
    <row r="61" spans="3:12" x14ac:dyDescent="0.3">
      <c r="D61" t="s">
        <v>1146</v>
      </c>
      <c r="E61">
        <v>1.1000000000000001</v>
      </c>
    </row>
    <row r="62" spans="3:12" x14ac:dyDescent="0.3">
      <c r="D62" t="s">
        <v>1145</v>
      </c>
      <c r="E62">
        <v>1.2</v>
      </c>
    </row>
    <row r="64" spans="3:12" x14ac:dyDescent="0.3">
      <c r="C64" t="s">
        <v>1144</v>
      </c>
    </row>
    <row r="65" spans="1:21" x14ac:dyDescent="0.3">
      <c r="D65" t="s">
        <v>67</v>
      </c>
      <c r="E65" t="s">
        <v>604</v>
      </c>
    </row>
    <row r="66" spans="1:21" x14ac:dyDescent="0.3">
      <c r="D66" s="100">
        <v>100</v>
      </c>
      <c r="E66">
        <v>0.85</v>
      </c>
    </row>
    <row r="67" spans="1:21" x14ac:dyDescent="0.3">
      <c r="D67" s="100">
        <v>250</v>
      </c>
      <c r="E67">
        <v>0.75</v>
      </c>
    </row>
    <row r="68" spans="1:21" x14ac:dyDescent="0.3">
      <c r="D68" s="100">
        <v>500</v>
      </c>
      <c r="E68">
        <v>0.7</v>
      </c>
    </row>
    <row r="70" spans="1:21" s="26" customFormat="1" x14ac:dyDescent="0.3">
      <c r="A70" s="26" t="s">
        <v>203</v>
      </c>
    </row>
    <row r="72" spans="1:21" x14ac:dyDescent="0.3">
      <c r="K72" s="394" t="s">
        <v>1491</v>
      </c>
      <c r="L72" s="394"/>
    </row>
    <row r="73" spans="1:21" x14ac:dyDescent="0.3">
      <c r="K73" s="59" t="s">
        <v>1490</v>
      </c>
      <c r="L73" s="59" t="s">
        <v>247</v>
      </c>
    </row>
    <row r="74" spans="1:21" x14ac:dyDescent="0.3">
      <c r="K74" s="56">
        <f>K31</f>
        <v>142.7927927927928</v>
      </c>
      <c r="L74" s="56">
        <f>K74*$K$27*12</f>
        <v>3170000</v>
      </c>
    </row>
    <row r="75" spans="1:21" x14ac:dyDescent="0.3">
      <c r="K75" s="56">
        <f>K40/K37</f>
        <v>32.852599778388502</v>
      </c>
      <c r="M75" s="9" t="s">
        <v>1489</v>
      </c>
      <c r="N75" s="9"/>
      <c r="O75" s="9"/>
      <c r="P75" s="9"/>
      <c r="Q75" s="9"/>
      <c r="R75" s="9"/>
      <c r="S75" s="9"/>
      <c r="T75" s="9"/>
      <c r="U75" s="9"/>
    </row>
    <row r="76" spans="1:21" x14ac:dyDescent="0.3">
      <c r="K76" s="56">
        <f>K74+K75</f>
        <v>175.6453925711813</v>
      </c>
      <c r="L76" s="56">
        <f>K76*$K$27*12</f>
        <v>3899327.7150802249</v>
      </c>
    </row>
    <row r="77" spans="1:21" x14ac:dyDescent="0.3">
      <c r="K77" s="56"/>
    </row>
    <row r="79" spans="1:21" x14ac:dyDescent="0.3">
      <c r="K79" s="56"/>
      <c r="L79" s="4">
        <f>C18</f>
        <v>875000</v>
      </c>
      <c r="M79" t="s">
        <v>1488</v>
      </c>
    </row>
    <row r="80" spans="1:21" x14ac:dyDescent="0.3">
      <c r="L80" s="4">
        <f>E33</f>
        <v>4152000</v>
      </c>
      <c r="M80" t="s">
        <v>1297</v>
      </c>
    </row>
    <row r="81" spans="12:19" x14ac:dyDescent="0.3">
      <c r="L81" s="4">
        <v>0</v>
      </c>
      <c r="M81" t="s">
        <v>1487</v>
      </c>
    </row>
    <row r="82" spans="12:19" x14ac:dyDescent="0.3">
      <c r="L82" s="4">
        <f>L76</f>
        <v>3899327.7150802249</v>
      </c>
      <c r="M82" t="s">
        <v>647</v>
      </c>
    </row>
    <row r="83" spans="12:19" x14ac:dyDescent="0.3">
      <c r="L83" s="4">
        <f>E55*E29*12</f>
        <v>222000</v>
      </c>
      <c r="M83" t="s">
        <v>1155</v>
      </c>
    </row>
    <row r="84" spans="12:19" x14ac:dyDescent="0.3">
      <c r="L84" s="4">
        <f>F55*L80</f>
        <v>249120</v>
      </c>
      <c r="M84" t="s">
        <v>1154</v>
      </c>
    </row>
    <row r="85" spans="12:19" x14ac:dyDescent="0.3">
      <c r="L85" s="4">
        <f>G55*L80</f>
        <v>166080</v>
      </c>
      <c r="M85" t="s">
        <v>1153</v>
      </c>
    </row>
    <row r="86" spans="12:19" x14ac:dyDescent="0.3">
      <c r="L86" s="4">
        <f>C17*L80</f>
        <v>124560</v>
      </c>
      <c r="M86" t="s">
        <v>1184</v>
      </c>
    </row>
    <row r="88" spans="12:19" x14ac:dyDescent="0.3">
      <c r="L88" s="5">
        <f>L79+L80+L81-SUM(L82:L86)</f>
        <v>365912.28491977509</v>
      </c>
      <c r="M88" t="s">
        <v>1305</v>
      </c>
      <c r="N88" s="9" t="s">
        <v>1486</v>
      </c>
      <c r="O88" s="9"/>
      <c r="P88" s="9"/>
      <c r="Q88" s="9"/>
      <c r="R88" s="9"/>
      <c r="S88" s="9"/>
    </row>
    <row r="89" spans="12:19" x14ac:dyDescent="0.3">
      <c r="L89" s="4"/>
    </row>
    <row r="90" spans="12:19" x14ac:dyDescent="0.3">
      <c r="L90" s="322"/>
    </row>
    <row r="91" spans="12:19" x14ac:dyDescent="0.3">
      <c r="L91" s="322"/>
    </row>
    <row r="92" spans="12:19" x14ac:dyDescent="0.3">
      <c r="L92" s="322"/>
    </row>
    <row r="93" spans="12:19" x14ac:dyDescent="0.3">
      <c r="L93" s="4"/>
    </row>
    <row r="95" spans="12:19" x14ac:dyDescent="0.3">
      <c r="L95" s="56"/>
    </row>
  </sheetData>
  <mergeCells count="4">
    <mergeCell ref="C10:F10"/>
    <mergeCell ref="C21:G21"/>
    <mergeCell ref="I21:M21"/>
    <mergeCell ref="K72:L72"/>
  </mergeCells>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83AD2-44E2-487C-834A-420737E165FE}">
  <sheetPr>
    <tabColor theme="5" tint="0.39997558519241921"/>
  </sheetPr>
  <dimension ref="A1:M55"/>
  <sheetViews>
    <sheetView workbookViewId="0">
      <selection activeCell="Q46" sqref="Q46"/>
    </sheetView>
  </sheetViews>
  <sheetFormatPr defaultRowHeight="14.4" x14ac:dyDescent="0.3"/>
  <cols>
    <col min="2" max="2" width="16" customWidth="1"/>
    <col min="3" max="3" width="9.33203125" bestFit="1" customWidth="1"/>
    <col min="4" max="5" width="11.33203125" customWidth="1"/>
    <col min="6" max="6" width="10.6640625" bestFit="1" customWidth="1"/>
    <col min="8" max="8" width="11.33203125" bestFit="1" customWidth="1"/>
    <col min="9" max="9" width="13" bestFit="1" customWidth="1"/>
    <col min="10" max="10" width="12.109375" customWidth="1"/>
    <col min="11" max="11" width="14" bestFit="1" customWidth="1"/>
    <col min="12" max="12" width="13.33203125" customWidth="1"/>
    <col min="13" max="13" width="13.6640625" customWidth="1"/>
    <col min="14" max="14" width="12.88671875" customWidth="1"/>
  </cols>
  <sheetData>
    <row r="1" spans="1:8" ht="15" thickBot="1" x14ac:dyDescent="0.35">
      <c r="A1" t="s">
        <v>1203</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s="26" customFormat="1" x14ac:dyDescent="0.3">
      <c r="A9" s="26" t="s">
        <v>1202</v>
      </c>
    </row>
    <row r="11" spans="1:8" ht="16.2" x14ac:dyDescent="0.35">
      <c r="B11" s="280" t="s">
        <v>1201</v>
      </c>
      <c r="C11" s="278"/>
      <c r="D11" s="278"/>
      <c r="E11" s="278"/>
    </row>
    <row r="12" spans="1:8" ht="16.2" x14ac:dyDescent="0.35">
      <c r="B12" s="280" t="s">
        <v>1200</v>
      </c>
      <c r="C12" s="278"/>
      <c r="D12" s="278"/>
      <c r="E12" s="278"/>
    </row>
    <row r="13" spans="1:8" ht="16.2" thickBot="1" x14ac:dyDescent="0.35">
      <c r="B13" s="279"/>
      <c r="C13" s="278"/>
      <c r="D13" s="278"/>
      <c r="E13" s="278"/>
    </row>
    <row r="14" spans="1:8" ht="15" thickBot="1" x14ac:dyDescent="0.35">
      <c r="C14" s="414" t="s">
        <v>1199</v>
      </c>
      <c r="D14" s="415"/>
      <c r="E14" s="416"/>
    </row>
    <row r="15" spans="1:8" ht="29.4" thickBot="1" x14ac:dyDescent="0.35">
      <c r="B15" s="277" t="s">
        <v>1198</v>
      </c>
      <c r="C15" s="276" t="s">
        <v>1197</v>
      </c>
      <c r="D15" s="275" t="s">
        <v>953</v>
      </c>
      <c r="E15" s="274" t="s">
        <v>952</v>
      </c>
    </row>
    <row r="16" spans="1:8" x14ac:dyDescent="0.3">
      <c r="B16" s="273">
        <v>0</v>
      </c>
      <c r="C16" s="272">
        <v>0</v>
      </c>
      <c r="D16" s="267"/>
      <c r="E16" s="267"/>
    </row>
    <row r="17" spans="1:5" x14ac:dyDescent="0.3">
      <c r="B17" s="271">
        <f t="shared" ref="B17:B28" si="0">B16+0.25</f>
        <v>0.25</v>
      </c>
      <c r="C17" s="270">
        <v>13</v>
      </c>
      <c r="D17" s="267"/>
      <c r="E17" s="267"/>
    </row>
    <row r="18" spans="1:5" x14ac:dyDescent="0.3">
      <c r="B18" s="271">
        <f t="shared" si="0"/>
        <v>0.5</v>
      </c>
      <c r="C18" s="270">
        <v>160</v>
      </c>
      <c r="D18" s="267"/>
      <c r="E18" s="267"/>
    </row>
    <row r="19" spans="1:5" x14ac:dyDescent="0.3">
      <c r="B19" s="271">
        <f t="shared" si="0"/>
        <v>0.75</v>
      </c>
      <c r="C19" s="270">
        <v>310</v>
      </c>
      <c r="D19" s="267"/>
      <c r="E19" s="267"/>
    </row>
    <row r="20" spans="1:5" x14ac:dyDescent="0.3">
      <c r="B20" s="271">
        <f t="shared" si="0"/>
        <v>1</v>
      </c>
      <c r="C20" s="270">
        <v>225</v>
      </c>
      <c r="D20" s="267"/>
      <c r="E20" s="267"/>
    </row>
    <row r="21" spans="1:5" x14ac:dyDescent="0.3">
      <c r="B21" s="271">
        <f t="shared" si="0"/>
        <v>1.25</v>
      </c>
      <c r="C21" s="270">
        <v>120</v>
      </c>
      <c r="D21" s="267"/>
      <c r="E21" s="267"/>
    </row>
    <row r="22" spans="1:5" x14ac:dyDescent="0.3">
      <c r="B22" s="271">
        <f t="shared" si="0"/>
        <v>1.5</v>
      </c>
      <c r="C22" s="270">
        <v>70</v>
      </c>
      <c r="D22" s="267"/>
      <c r="E22" s="267"/>
    </row>
    <row r="23" spans="1:5" x14ac:dyDescent="0.3">
      <c r="B23" s="271">
        <f t="shared" si="0"/>
        <v>1.75</v>
      </c>
      <c r="C23" s="270">
        <v>45</v>
      </c>
      <c r="D23" s="267"/>
      <c r="E23" s="267"/>
    </row>
    <row r="24" spans="1:5" x14ac:dyDescent="0.3">
      <c r="B24" s="271">
        <f t="shared" si="0"/>
        <v>2</v>
      </c>
      <c r="C24" s="270">
        <v>20</v>
      </c>
      <c r="D24" s="267"/>
      <c r="E24" s="267"/>
    </row>
    <row r="25" spans="1:5" x14ac:dyDescent="0.3">
      <c r="B25" s="271">
        <f t="shared" si="0"/>
        <v>2.25</v>
      </c>
      <c r="C25" s="270">
        <v>20</v>
      </c>
      <c r="D25" s="267"/>
      <c r="E25" s="267"/>
    </row>
    <row r="26" spans="1:5" x14ac:dyDescent="0.3">
      <c r="B26" s="271">
        <f t="shared" si="0"/>
        <v>2.5</v>
      </c>
      <c r="C26" s="270">
        <v>12</v>
      </c>
      <c r="D26" s="267"/>
      <c r="E26" s="267"/>
    </row>
    <row r="27" spans="1:5" x14ac:dyDescent="0.3">
      <c r="B27" s="271">
        <f t="shared" si="0"/>
        <v>2.75</v>
      </c>
      <c r="C27" s="270">
        <v>5</v>
      </c>
      <c r="D27" s="267"/>
      <c r="E27" s="267"/>
    </row>
    <row r="28" spans="1:5" ht="15" thickBot="1" x14ac:dyDescent="0.35">
      <c r="B28" s="269">
        <f t="shared" si="0"/>
        <v>3</v>
      </c>
      <c r="C28" s="268">
        <v>0</v>
      </c>
      <c r="D28" s="267"/>
      <c r="E28" s="267"/>
    </row>
    <row r="29" spans="1:5" ht="15" thickBot="1" x14ac:dyDescent="0.35">
      <c r="B29" s="266" t="s">
        <v>1196</v>
      </c>
      <c r="C29" s="265">
        <f>SUM(C16:C28)</f>
        <v>1000</v>
      </c>
      <c r="D29" s="264">
        <f>SUM(D16:D28)</f>
        <v>0</v>
      </c>
      <c r="E29" s="263">
        <f>SUM(E16:E28)</f>
        <v>0</v>
      </c>
    </row>
    <row r="31" spans="1:5" s="26" customFormat="1" x14ac:dyDescent="0.3">
      <c r="A31" s="26" t="s">
        <v>412</v>
      </c>
    </row>
    <row r="32" spans="1:5" ht="15" thickBot="1" x14ac:dyDescent="0.35"/>
    <row r="33" spans="3:13" ht="15" thickBot="1" x14ac:dyDescent="0.35">
      <c r="C33" s="375" t="s">
        <v>8</v>
      </c>
      <c r="D33" s="376"/>
      <c r="E33" s="376"/>
      <c r="F33" s="377"/>
    </row>
    <row r="35" spans="3:13" x14ac:dyDescent="0.3">
      <c r="C35">
        <v>5000</v>
      </c>
      <c r="D35" t="s">
        <v>1195</v>
      </c>
    </row>
    <row r="38" spans="3:13" ht="15" thickBot="1" x14ac:dyDescent="0.35"/>
    <row r="39" spans="3:13" ht="15" thickBot="1" x14ac:dyDescent="0.35">
      <c r="C39" s="375" t="s">
        <v>4</v>
      </c>
      <c r="D39" s="376"/>
      <c r="E39" s="376"/>
      <c r="F39" s="376"/>
      <c r="G39" s="377"/>
      <c r="I39" s="375" t="s">
        <v>3</v>
      </c>
      <c r="J39" s="376"/>
      <c r="K39" s="376"/>
      <c r="L39" s="376"/>
      <c r="M39" s="377"/>
    </row>
    <row r="42" spans="3:13" ht="57.6" x14ac:dyDescent="0.3">
      <c r="C42" s="3" t="s">
        <v>1194</v>
      </c>
      <c r="D42" s="3" t="s">
        <v>1193</v>
      </c>
      <c r="E42" s="3" t="s">
        <v>1192</v>
      </c>
      <c r="F42" s="3" t="s">
        <v>1191</v>
      </c>
    </row>
    <row r="43" spans="3:13" x14ac:dyDescent="0.3">
      <c r="C43" s="4">
        <v>25000</v>
      </c>
      <c r="D43" s="4">
        <v>10600000</v>
      </c>
      <c r="E43" s="4">
        <v>6520000</v>
      </c>
      <c r="F43" s="56">
        <v>150</v>
      </c>
    </row>
    <row r="44" spans="3:13" x14ac:dyDescent="0.3">
      <c r="C44" s="4">
        <v>50000</v>
      </c>
      <c r="D44" s="4">
        <v>12960000</v>
      </c>
      <c r="E44" s="4">
        <v>4160000</v>
      </c>
      <c r="F44" s="56">
        <v>100</v>
      </c>
    </row>
    <row r="45" spans="3:13" x14ac:dyDescent="0.3">
      <c r="C45" s="4">
        <v>100000</v>
      </c>
      <c r="D45" s="4">
        <v>14940000</v>
      </c>
      <c r="E45" s="4">
        <v>2180000</v>
      </c>
      <c r="F45" s="56">
        <v>55</v>
      </c>
    </row>
    <row r="46" spans="3:13" x14ac:dyDescent="0.3">
      <c r="C46" s="4">
        <v>250000</v>
      </c>
      <c r="D46" s="4">
        <v>16300000</v>
      </c>
      <c r="E46" s="4">
        <v>820000</v>
      </c>
      <c r="F46" s="56">
        <v>15</v>
      </c>
    </row>
    <row r="47" spans="3:13" x14ac:dyDescent="0.3">
      <c r="C47" t="s">
        <v>1190</v>
      </c>
      <c r="D47" s="4">
        <v>17120000</v>
      </c>
      <c r="E47" s="4">
        <v>0</v>
      </c>
      <c r="F47" s="56">
        <v>0</v>
      </c>
    </row>
    <row r="53" spans="9:12" x14ac:dyDescent="0.3">
      <c r="I53" s="88"/>
      <c r="J53" s="88"/>
      <c r="K53" s="88"/>
      <c r="L53" s="88"/>
    </row>
    <row r="54" spans="9:12" x14ac:dyDescent="0.3">
      <c r="I54" s="88"/>
      <c r="J54" s="88"/>
      <c r="K54" s="88"/>
      <c r="L54" s="88"/>
    </row>
    <row r="55" spans="9:12" x14ac:dyDescent="0.3">
      <c r="J55" s="88"/>
      <c r="K55" s="88"/>
      <c r="L55" s="88"/>
    </row>
  </sheetData>
  <mergeCells count="4">
    <mergeCell ref="C14:E14"/>
    <mergeCell ref="C33:F33"/>
    <mergeCell ref="C39:G39"/>
    <mergeCell ref="I39:M39"/>
  </mergeCells>
  <pageMargins left="0.7" right="0.7" top="0.75" bottom="0.75" header="0.3" footer="0.3"/>
  <pageSetup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16EDF-2E7B-4AAB-A089-5D517D2091E4}">
  <sheetPr>
    <tabColor theme="9" tint="0.59999389629810485"/>
  </sheetPr>
  <dimension ref="A1:N55"/>
  <sheetViews>
    <sheetView workbookViewId="0">
      <selection activeCell="I63" sqref="I63"/>
    </sheetView>
  </sheetViews>
  <sheetFormatPr defaultRowHeight="14.4" x14ac:dyDescent="0.3"/>
  <cols>
    <col min="2" max="2" width="16" customWidth="1"/>
    <col min="3" max="3" width="9.33203125" bestFit="1" customWidth="1"/>
    <col min="4" max="5" width="11.33203125" customWidth="1"/>
    <col min="6" max="6" width="10.6640625" bestFit="1" customWidth="1"/>
    <col min="8" max="8" width="11.33203125" bestFit="1" customWidth="1"/>
    <col min="9" max="9" width="13" bestFit="1" customWidth="1"/>
    <col min="10" max="10" width="12.109375" customWidth="1"/>
    <col min="11" max="11" width="14" bestFit="1" customWidth="1"/>
    <col min="12" max="12" width="13.33203125" customWidth="1"/>
    <col min="13" max="13" width="13.6640625" customWidth="1"/>
    <col min="14" max="14" width="12.88671875" customWidth="1"/>
  </cols>
  <sheetData>
    <row r="1" spans="1:8" ht="15" thickBot="1" x14ac:dyDescent="0.35">
      <c r="A1" t="s">
        <v>1203</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s="26" customFormat="1" x14ac:dyDescent="0.3">
      <c r="A9" s="26" t="s">
        <v>1202</v>
      </c>
    </row>
    <row r="11" spans="1:8" ht="16.2" x14ac:dyDescent="0.35">
      <c r="B11" s="280" t="s">
        <v>1201</v>
      </c>
      <c r="C11" s="278"/>
      <c r="D11" s="278"/>
      <c r="E11" s="278"/>
    </row>
    <row r="12" spans="1:8" ht="16.2" x14ac:dyDescent="0.35">
      <c r="B12" s="280" t="s">
        <v>1200</v>
      </c>
      <c r="C12" s="278"/>
      <c r="D12" s="278"/>
      <c r="E12" s="278"/>
    </row>
    <row r="13" spans="1:8" ht="16.2" thickBot="1" x14ac:dyDescent="0.35">
      <c r="B13" s="279"/>
      <c r="C13" s="278"/>
      <c r="D13" s="278"/>
      <c r="E13" s="278"/>
    </row>
    <row r="14" spans="1:8" ht="15" thickBot="1" x14ac:dyDescent="0.35">
      <c r="C14" s="414" t="s">
        <v>1199</v>
      </c>
      <c r="D14" s="415"/>
      <c r="E14" s="416"/>
    </row>
    <row r="15" spans="1:8" ht="29.4" thickBot="1" x14ac:dyDescent="0.35">
      <c r="B15" s="277" t="s">
        <v>1198</v>
      </c>
      <c r="C15" s="276" t="s">
        <v>1197</v>
      </c>
      <c r="D15" s="275" t="s">
        <v>953</v>
      </c>
      <c r="E15" s="274" t="s">
        <v>952</v>
      </c>
    </row>
    <row r="16" spans="1:8" x14ac:dyDescent="0.3">
      <c r="B16" s="273">
        <v>0</v>
      </c>
      <c r="C16" s="272">
        <v>0</v>
      </c>
      <c r="D16" s="267">
        <v>0</v>
      </c>
      <c r="E16" s="267">
        <v>0</v>
      </c>
    </row>
    <row r="17" spans="1:5" x14ac:dyDescent="0.3">
      <c r="B17" s="271">
        <f t="shared" ref="B17:B28" si="0">B16+0.25</f>
        <v>0.25</v>
      </c>
      <c r="C17" s="270">
        <v>13</v>
      </c>
      <c r="D17" s="267">
        <v>13</v>
      </c>
      <c r="E17" s="267">
        <v>13</v>
      </c>
    </row>
    <row r="18" spans="1:5" x14ac:dyDescent="0.3">
      <c r="B18" s="271">
        <f t="shared" si="0"/>
        <v>0.5</v>
      </c>
      <c r="C18" s="270">
        <v>160</v>
      </c>
      <c r="D18" s="267">
        <v>160</v>
      </c>
      <c r="E18" s="267">
        <v>160</v>
      </c>
    </row>
    <row r="19" spans="1:5" x14ac:dyDescent="0.3">
      <c r="B19" s="271">
        <f t="shared" si="0"/>
        <v>0.75</v>
      </c>
      <c r="C19" s="270">
        <v>310</v>
      </c>
      <c r="D19" s="267">
        <v>310</v>
      </c>
      <c r="E19" s="267">
        <v>310</v>
      </c>
    </row>
    <row r="20" spans="1:5" x14ac:dyDescent="0.3">
      <c r="B20" s="271">
        <f t="shared" si="0"/>
        <v>1</v>
      </c>
      <c r="C20" s="270">
        <v>225</v>
      </c>
      <c r="D20" s="267">
        <v>260</v>
      </c>
      <c r="E20" s="267">
        <v>260</v>
      </c>
    </row>
    <row r="21" spans="1:5" x14ac:dyDescent="0.3">
      <c r="B21" s="271">
        <f t="shared" si="0"/>
        <v>1.25</v>
      </c>
      <c r="C21" s="270">
        <v>120</v>
      </c>
      <c r="D21" s="267">
        <v>160</v>
      </c>
      <c r="E21" s="267">
        <v>257</v>
      </c>
    </row>
    <row r="22" spans="1:5" x14ac:dyDescent="0.3">
      <c r="B22" s="271">
        <f t="shared" si="0"/>
        <v>1.5</v>
      </c>
      <c r="C22" s="270">
        <v>70</v>
      </c>
      <c r="D22" s="267">
        <v>50</v>
      </c>
      <c r="E22" s="267">
        <v>0</v>
      </c>
    </row>
    <row r="23" spans="1:5" x14ac:dyDescent="0.3">
      <c r="B23" s="271">
        <f t="shared" si="0"/>
        <v>1.75</v>
      </c>
      <c r="C23" s="270">
        <v>45</v>
      </c>
      <c r="D23" s="267">
        <v>23</v>
      </c>
      <c r="E23" s="267">
        <v>0</v>
      </c>
    </row>
    <row r="24" spans="1:5" x14ac:dyDescent="0.3">
      <c r="B24" s="271">
        <f t="shared" si="0"/>
        <v>2</v>
      </c>
      <c r="C24" s="270">
        <v>20</v>
      </c>
      <c r="D24" s="267">
        <v>14</v>
      </c>
      <c r="E24" s="267">
        <v>0</v>
      </c>
    </row>
    <row r="25" spans="1:5" x14ac:dyDescent="0.3">
      <c r="B25" s="271">
        <f t="shared" si="0"/>
        <v>2.25</v>
      </c>
      <c r="C25" s="270">
        <v>20</v>
      </c>
      <c r="D25" s="267">
        <v>7</v>
      </c>
      <c r="E25" s="267">
        <v>0</v>
      </c>
    </row>
    <row r="26" spans="1:5" x14ac:dyDescent="0.3">
      <c r="B26" s="271">
        <f t="shared" si="0"/>
        <v>2.5</v>
      </c>
      <c r="C26" s="270">
        <v>12</v>
      </c>
      <c r="D26" s="267">
        <v>3</v>
      </c>
      <c r="E26" s="267">
        <v>0</v>
      </c>
    </row>
    <row r="27" spans="1:5" x14ac:dyDescent="0.3">
      <c r="B27" s="271">
        <f t="shared" si="0"/>
        <v>2.75</v>
      </c>
      <c r="C27" s="270">
        <v>5</v>
      </c>
      <c r="D27" s="267">
        <v>0</v>
      </c>
      <c r="E27" s="267">
        <v>0</v>
      </c>
    </row>
    <row r="28" spans="1:5" ht="15" thickBot="1" x14ac:dyDescent="0.35">
      <c r="B28" s="269">
        <f t="shared" si="0"/>
        <v>3</v>
      </c>
      <c r="C28" s="268">
        <v>0</v>
      </c>
      <c r="D28" s="267">
        <v>0</v>
      </c>
      <c r="E28" s="267">
        <v>0</v>
      </c>
    </row>
    <row r="29" spans="1:5" ht="15" thickBot="1" x14ac:dyDescent="0.35">
      <c r="B29" s="266" t="s">
        <v>1196</v>
      </c>
      <c r="C29" s="265">
        <f>SUM(C16:C28)</f>
        <v>1000</v>
      </c>
      <c r="D29" s="264">
        <f>SUM(D16:D28)</f>
        <v>1000</v>
      </c>
      <c r="E29" s="263">
        <f>SUM(E16:E28)</f>
        <v>1000</v>
      </c>
    </row>
    <row r="31" spans="1:5" s="26" customFormat="1" x14ac:dyDescent="0.3">
      <c r="A31" s="26" t="s">
        <v>412</v>
      </c>
    </row>
    <row r="32" spans="1:5" ht="15" thickBot="1" x14ac:dyDescent="0.35"/>
    <row r="33" spans="3:14" ht="15" thickBot="1" x14ac:dyDescent="0.35">
      <c r="C33" s="375" t="s">
        <v>8</v>
      </c>
      <c r="D33" s="376"/>
      <c r="E33" s="376"/>
      <c r="F33" s="377"/>
    </row>
    <row r="35" spans="3:14" x14ac:dyDescent="0.3">
      <c r="C35">
        <v>5000</v>
      </c>
      <c r="D35" t="s">
        <v>1195</v>
      </c>
    </row>
    <row r="38" spans="3:14" ht="15" thickBot="1" x14ac:dyDescent="0.35"/>
    <row r="39" spans="3:14" ht="15" thickBot="1" x14ac:dyDescent="0.35">
      <c r="C39" s="375" t="s">
        <v>4</v>
      </c>
      <c r="D39" s="376"/>
      <c r="E39" s="376"/>
      <c r="F39" s="376"/>
      <c r="G39" s="377"/>
      <c r="I39" s="375" t="s">
        <v>3</v>
      </c>
      <c r="J39" s="376"/>
      <c r="K39" s="376"/>
      <c r="L39" s="376"/>
      <c r="M39" s="377"/>
    </row>
    <row r="42" spans="3:14" ht="57.6" x14ac:dyDescent="0.3">
      <c r="C42" s="3" t="s">
        <v>1194</v>
      </c>
      <c r="D42" s="3" t="s">
        <v>1193</v>
      </c>
      <c r="E42" s="3" t="s">
        <v>1192</v>
      </c>
      <c r="F42" s="3" t="s">
        <v>1191</v>
      </c>
      <c r="I42" s="3" t="s">
        <v>1194</v>
      </c>
      <c r="J42" s="3" t="s">
        <v>1504</v>
      </c>
      <c r="K42" s="3" t="s">
        <v>1503</v>
      </c>
      <c r="L42" s="3" t="s">
        <v>1502</v>
      </c>
      <c r="M42" s="3" t="s">
        <v>1501</v>
      </c>
      <c r="N42" s="3" t="s">
        <v>1500</v>
      </c>
    </row>
    <row r="43" spans="3:14" x14ac:dyDescent="0.3">
      <c r="C43" s="4">
        <v>25000</v>
      </c>
      <c r="D43" s="4">
        <v>10600000</v>
      </c>
      <c r="E43" s="4">
        <v>6520000</v>
      </c>
      <c r="F43" s="56">
        <v>150</v>
      </c>
      <c r="I43" s="4">
        <f>C43</f>
        <v>25000</v>
      </c>
      <c r="J43" s="4">
        <f>D43+E43</f>
        <v>17120000</v>
      </c>
      <c r="K43" s="4">
        <f>F43*$C$35*12</f>
        <v>9000000</v>
      </c>
      <c r="L43" s="4">
        <f>D43+K43</f>
        <v>19600000</v>
      </c>
    </row>
    <row r="44" spans="3:14" x14ac:dyDescent="0.3">
      <c r="C44" s="4">
        <v>50000</v>
      </c>
      <c r="D44" s="4">
        <v>12960000</v>
      </c>
      <c r="E44" s="4">
        <v>4160000</v>
      </c>
      <c r="F44" s="56">
        <v>100</v>
      </c>
      <c r="I44" s="4">
        <f>C44</f>
        <v>50000</v>
      </c>
      <c r="J44" s="4">
        <f>D44+E44</f>
        <v>17120000</v>
      </c>
      <c r="K44" s="4">
        <f>F44*$C$35*12</f>
        <v>6000000</v>
      </c>
      <c r="L44" s="4">
        <f>D44+K44</f>
        <v>18960000</v>
      </c>
      <c r="M44" s="4">
        <f>$L$43-L44</f>
        <v>640000</v>
      </c>
      <c r="N44" s="55">
        <f>M44/D44</f>
        <v>4.9382716049382713E-2</v>
      </c>
    </row>
    <row r="45" spans="3:14" x14ac:dyDescent="0.3">
      <c r="C45" s="4">
        <v>100000</v>
      </c>
      <c r="D45" s="4">
        <v>14940000</v>
      </c>
      <c r="E45" s="4">
        <v>2180000</v>
      </c>
      <c r="F45" s="56">
        <v>55</v>
      </c>
      <c r="I45" s="4">
        <f>C45</f>
        <v>100000</v>
      </c>
      <c r="J45" s="4">
        <f>D45+E45</f>
        <v>17120000</v>
      </c>
      <c r="K45" s="4">
        <f>F45*$C$35*12</f>
        <v>3300000</v>
      </c>
      <c r="L45" s="4">
        <f>D45+K45</f>
        <v>18240000</v>
      </c>
      <c r="M45" s="284">
        <f>$L$43-L45</f>
        <v>1360000</v>
      </c>
      <c r="N45" s="321">
        <f>M45/D45</f>
        <v>9.1030789825970543E-2</v>
      </c>
    </row>
    <row r="46" spans="3:14" x14ac:dyDescent="0.3">
      <c r="C46" s="4">
        <v>250000</v>
      </c>
      <c r="D46" s="4">
        <v>16300000</v>
      </c>
      <c r="E46" s="4">
        <v>820000</v>
      </c>
      <c r="F46" s="56">
        <v>15</v>
      </c>
      <c r="I46" s="4">
        <f>C46</f>
        <v>250000</v>
      </c>
      <c r="J46" s="4">
        <f>D46+E46</f>
        <v>17120000</v>
      </c>
      <c r="K46" s="4">
        <f>F46*$C$35*12</f>
        <v>900000</v>
      </c>
      <c r="L46" s="4">
        <f>D46+K46</f>
        <v>17200000</v>
      </c>
      <c r="M46" s="4">
        <f>$L$43-L46</f>
        <v>2400000</v>
      </c>
      <c r="N46" s="55">
        <f>M46/D46</f>
        <v>0.14723926380368099</v>
      </c>
    </row>
    <row r="47" spans="3:14" x14ac:dyDescent="0.3">
      <c r="C47" t="s">
        <v>1190</v>
      </c>
      <c r="D47" s="4">
        <v>17120000</v>
      </c>
      <c r="E47" s="4">
        <v>0</v>
      </c>
      <c r="F47" s="56">
        <v>0</v>
      </c>
      <c r="I47" s="4" t="str">
        <f>C47</f>
        <v>none</v>
      </c>
      <c r="J47" s="4">
        <f>D47+E47</f>
        <v>17120000</v>
      </c>
      <c r="L47" s="4">
        <f>D47+K47</f>
        <v>17120000</v>
      </c>
      <c r="M47" s="4">
        <f>$L$43-L47</f>
        <v>2480000</v>
      </c>
      <c r="N47" s="55">
        <f>M47/D47</f>
        <v>0.14485981308411214</v>
      </c>
    </row>
    <row r="53" spans="9:12" x14ac:dyDescent="0.3">
      <c r="I53" s="88"/>
      <c r="J53" s="88"/>
      <c r="K53" s="88"/>
      <c r="L53" s="88"/>
    </row>
    <row r="54" spans="9:12" x14ac:dyDescent="0.3">
      <c r="I54" s="88"/>
      <c r="J54" s="88"/>
      <c r="K54" s="88"/>
      <c r="L54" s="88"/>
    </row>
    <row r="55" spans="9:12" x14ac:dyDescent="0.3">
      <c r="J55" s="88"/>
      <c r="K55" s="88"/>
      <c r="L55" s="88"/>
    </row>
  </sheetData>
  <mergeCells count="4">
    <mergeCell ref="C14:E14"/>
    <mergeCell ref="C33:F33"/>
    <mergeCell ref="C39:G39"/>
    <mergeCell ref="I39:M39"/>
  </mergeCells>
  <pageMargins left="0.7" right="0.7" top="0.75" bottom="0.75" header="0.3" footer="0.3"/>
  <pageSetup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9FB86-FE8E-4254-8ACC-D91EAED2E861}">
  <sheetPr>
    <tabColor theme="5" tint="0.39997558519241921"/>
  </sheetPr>
  <dimension ref="A1:M31"/>
  <sheetViews>
    <sheetView workbookViewId="0">
      <selection activeCell="Q46" sqref="Q46"/>
    </sheetView>
  </sheetViews>
  <sheetFormatPr defaultRowHeight="14.4" x14ac:dyDescent="0.3"/>
  <cols>
    <col min="3" max="7" width="10.88671875" customWidth="1"/>
    <col min="14" max="14" width="18" customWidth="1"/>
  </cols>
  <sheetData>
    <row r="1" spans="1:8" ht="15" thickBot="1" x14ac:dyDescent="0.35">
      <c r="A1" t="s">
        <v>1211</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s="88">
        <v>150</v>
      </c>
      <c r="D12" t="s">
        <v>1210</v>
      </c>
    </row>
    <row r="13" spans="1:8" x14ac:dyDescent="0.3">
      <c r="C13" s="88">
        <v>300</v>
      </c>
      <c r="D13" t="s">
        <v>1209</v>
      </c>
    </row>
    <row r="14" spans="1:8" x14ac:dyDescent="0.3">
      <c r="C14" s="88">
        <v>600</v>
      </c>
      <c r="D14" t="s">
        <v>1208</v>
      </c>
    </row>
    <row r="21" spans="3:13" ht="15" thickBot="1" x14ac:dyDescent="0.35"/>
    <row r="22" spans="3:13" ht="15" thickBot="1" x14ac:dyDescent="0.35">
      <c r="C22" s="375" t="s">
        <v>4</v>
      </c>
      <c r="D22" s="376"/>
      <c r="E22" s="376"/>
      <c r="F22" s="376"/>
      <c r="G22" s="377"/>
      <c r="I22" s="375" t="s">
        <v>3</v>
      </c>
      <c r="J22" s="376"/>
      <c r="K22" s="376"/>
      <c r="L22" s="376"/>
      <c r="M22" s="377"/>
    </row>
    <row r="24" spans="3:13" x14ac:dyDescent="0.3">
      <c r="C24" s="417" t="s">
        <v>1207</v>
      </c>
      <c r="D24" s="417"/>
      <c r="E24" s="417"/>
      <c r="F24" s="417"/>
      <c r="G24" s="417"/>
    </row>
    <row r="25" spans="3:13" x14ac:dyDescent="0.3">
      <c r="C25" s="417"/>
      <c r="D25" s="417"/>
      <c r="E25" s="417"/>
      <c r="F25" s="417"/>
      <c r="G25" s="417"/>
    </row>
    <row r="27" spans="3:13" x14ac:dyDescent="0.3">
      <c r="D27" s="14" t="s">
        <v>919</v>
      </c>
      <c r="E27" s="14" t="s">
        <v>1206</v>
      </c>
      <c r="F27" s="14" t="s">
        <v>917</v>
      </c>
    </row>
    <row r="28" spans="3:13" x14ac:dyDescent="0.3">
      <c r="C28" t="s">
        <v>914</v>
      </c>
      <c r="D28" s="14">
        <v>500</v>
      </c>
      <c r="E28" s="14">
        <v>700</v>
      </c>
      <c r="F28" s="14">
        <v>50</v>
      </c>
    </row>
    <row r="29" spans="3:13" x14ac:dyDescent="0.3">
      <c r="C29" t="s">
        <v>913</v>
      </c>
      <c r="D29" s="14">
        <v>100</v>
      </c>
      <c r="E29" s="14">
        <v>300</v>
      </c>
      <c r="F29" s="14">
        <v>150</v>
      </c>
    </row>
    <row r="30" spans="3:13" x14ac:dyDescent="0.3">
      <c r="C30" t="s">
        <v>1205</v>
      </c>
      <c r="D30" s="14">
        <v>700</v>
      </c>
      <c r="E30" s="14">
        <v>200</v>
      </c>
      <c r="F30" s="14">
        <v>400</v>
      </c>
    </row>
    <row r="31" spans="3:13" x14ac:dyDescent="0.3">
      <c r="C31" t="s">
        <v>1204</v>
      </c>
      <c r="D31" s="14">
        <v>800</v>
      </c>
      <c r="E31" s="14">
        <v>100</v>
      </c>
      <c r="F31" s="14">
        <v>400</v>
      </c>
    </row>
  </sheetData>
  <mergeCells count="4">
    <mergeCell ref="C10:F10"/>
    <mergeCell ref="C22:G22"/>
    <mergeCell ref="I22:M22"/>
    <mergeCell ref="C24:G25"/>
  </mergeCells>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29062-1F0D-4BB3-978E-056B10B57580}">
  <sheetPr>
    <tabColor theme="9" tint="0.59999389629810485"/>
  </sheetPr>
  <dimension ref="A1:N34"/>
  <sheetViews>
    <sheetView workbookViewId="0">
      <selection activeCell="I63" sqref="I63"/>
    </sheetView>
  </sheetViews>
  <sheetFormatPr defaultRowHeight="14.4" x14ac:dyDescent="0.3"/>
  <cols>
    <col min="3" max="7" width="10.88671875" customWidth="1"/>
    <col min="14" max="14" width="18" customWidth="1"/>
  </cols>
  <sheetData>
    <row r="1" spans="1:8" ht="15" thickBot="1" x14ac:dyDescent="0.35">
      <c r="A1" t="s">
        <v>1211</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s="88">
        <v>150</v>
      </c>
      <c r="D12" t="s">
        <v>1210</v>
      </c>
    </row>
    <row r="13" spans="1:8" x14ac:dyDescent="0.3">
      <c r="C13" s="88">
        <v>300</v>
      </c>
      <c r="D13" t="s">
        <v>1209</v>
      </c>
    </row>
    <row r="14" spans="1:8" x14ac:dyDescent="0.3">
      <c r="C14" s="88">
        <v>600</v>
      </c>
      <c r="D14" t="s">
        <v>1208</v>
      </c>
    </row>
    <row r="21" spans="3:14" ht="15" thickBot="1" x14ac:dyDescent="0.35"/>
    <row r="22" spans="3:14" ht="15" thickBot="1" x14ac:dyDescent="0.35">
      <c r="C22" s="375" t="s">
        <v>4</v>
      </c>
      <c r="D22" s="376"/>
      <c r="E22" s="376"/>
      <c r="F22" s="376"/>
      <c r="G22" s="377"/>
      <c r="I22" s="375" t="s">
        <v>3</v>
      </c>
      <c r="J22" s="376"/>
      <c r="K22" s="376"/>
      <c r="L22" s="376"/>
      <c r="M22" s="377"/>
    </row>
    <row r="24" spans="3:14" x14ac:dyDescent="0.3">
      <c r="C24" s="417" t="s">
        <v>1207</v>
      </c>
      <c r="D24" s="417"/>
      <c r="E24" s="417"/>
      <c r="F24" s="417"/>
      <c r="G24" s="417"/>
    </row>
    <row r="25" spans="3:14" x14ac:dyDescent="0.3">
      <c r="C25" s="417"/>
      <c r="D25" s="417"/>
      <c r="E25" s="417"/>
      <c r="F25" s="417"/>
      <c r="G25" s="417"/>
    </row>
    <row r="27" spans="3:14" x14ac:dyDescent="0.3">
      <c r="D27" s="14" t="s">
        <v>919</v>
      </c>
      <c r="E27" s="14" t="s">
        <v>1206</v>
      </c>
      <c r="F27" s="14" t="s">
        <v>917</v>
      </c>
      <c r="I27" s="26"/>
      <c r="J27" s="23" t="s">
        <v>919</v>
      </c>
      <c r="K27" s="23" t="s">
        <v>1206</v>
      </c>
      <c r="L27" s="23" t="s">
        <v>917</v>
      </c>
      <c r="M27" s="23" t="s">
        <v>1507</v>
      </c>
      <c r="N27" s="23" t="s">
        <v>1506</v>
      </c>
    </row>
    <row r="28" spans="3:14" x14ac:dyDescent="0.3">
      <c r="C28" t="s">
        <v>914</v>
      </c>
      <c r="D28" s="14">
        <v>500</v>
      </c>
      <c r="E28" s="14">
        <v>700</v>
      </c>
      <c r="F28" s="14">
        <v>50</v>
      </c>
      <c r="I28" t="s">
        <v>914</v>
      </c>
      <c r="J28" s="130">
        <f t="shared" ref="J28:L31" si="0">D28</f>
        <v>500</v>
      </c>
      <c r="K28" s="130">
        <f t="shared" si="0"/>
        <v>700</v>
      </c>
      <c r="L28" s="130">
        <f t="shared" si="0"/>
        <v>50</v>
      </c>
      <c r="M28" s="137">
        <f>SUMPRODUCT(J28:L28,$J$34:$L$34)/SUM(J28:L28)</f>
        <v>252</v>
      </c>
      <c r="N28" s="323">
        <f>M28/$M$32</f>
        <v>0.84965517241379318</v>
      </c>
    </row>
    <row r="29" spans="3:14" x14ac:dyDescent="0.3">
      <c r="C29" t="s">
        <v>913</v>
      </c>
      <c r="D29" s="14">
        <v>100</v>
      </c>
      <c r="E29" s="14">
        <v>300</v>
      </c>
      <c r="F29" s="14">
        <v>150</v>
      </c>
      <c r="I29" t="s">
        <v>913</v>
      </c>
      <c r="J29" s="130">
        <f t="shared" si="0"/>
        <v>100</v>
      </c>
      <c r="K29" s="130">
        <f t="shared" si="0"/>
        <v>300</v>
      </c>
      <c r="L29" s="130">
        <f t="shared" si="0"/>
        <v>150</v>
      </c>
      <c r="M29" s="137">
        <f>SUMPRODUCT(J29:L29,$J$34:$L$34)/SUM(J29:L29)</f>
        <v>354.54545454545456</v>
      </c>
      <c r="N29" s="323">
        <f>M29/$M$32</f>
        <v>1.1954022988505748</v>
      </c>
    </row>
    <row r="30" spans="3:14" x14ac:dyDescent="0.3">
      <c r="C30" t="s">
        <v>1205</v>
      </c>
      <c r="D30" s="14">
        <v>700</v>
      </c>
      <c r="E30" s="14">
        <v>200</v>
      </c>
      <c r="F30" s="14">
        <v>400</v>
      </c>
      <c r="I30" t="s">
        <v>1205</v>
      </c>
      <c r="J30" s="130">
        <f t="shared" si="0"/>
        <v>700</v>
      </c>
      <c r="K30" s="130">
        <f t="shared" si="0"/>
        <v>200</v>
      </c>
      <c r="L30" s="130">
        <f t="shared" si="0"/>
        <v>400</v>
      </c>
      <c r="M30" s="137">
        <f>SUMPRODUCT(J30:L30,$J$34:$L$34)/SUM(J30:L30)</f>
        <v>311.53846153846155</v>
      </c>
      <c r="N30" s="323">
        <f>M30/$M$32</f>
        <v>1.050397877984085</v>
      </c>
    </row>
    <row r="31" spans="3:14" x14ac:dyDescent="0.3">
      <c r="C31" t="s">
        <v>1204</v>
      </c>
      <c r="D31" s="14">
        <v>800</v>
      </c>
      <c r="E31" s="14">
        <v>100</v>
      </c>
      <c r="F31" s="14">
        <v>400</v>
      </c>
      <c r="I31" s="26" t="s">
        <v>1204</v>
      </c>
      <c r="J31" s="133">
        <f t="shared" si="0"/>
        <v>800</v>
      </c>
      <c r="K31" s="133">
        <f t="shared" si="0"/>
        <v>100</v>
      </c>
      <c r="L31" s="133">
        <f t="shared" si="0"/>
        <v>400</v>
      </c>
      <c r="M31" s="232">
        <f>SUMPRODUCT(J31:L31,$J$34:$L$34)/SUM(J31:L31)</f>
        <v>300</v>
      </c>
      <c r="N31" s="323">
        <f>M31/$M$32</f>
        <v>1.0114942528735633</v>
      </c>
    </row>
    <row r="32" spans="3:14" x14ac:dyDescent="0.3">
      <c r="I32" t="s">
        <v>247</v>
      </c>
      <c r="J32" s="130">
        <f>SUM(J28:J31)</f>
        <v>2100</v>
      </c>
      <c r="K32" s="130">
        <f>SUM(K28:K31)</f>
        <v>1300</v>
      </c>
      <c r="L32" s="130">
        <f>SUM(L28:L31)</f>
        <v>1000</v>
      </c>
      <c r="M32" s="137">
        <f>SUMPRODUCT(J32:L32,$J$34:$L$34)/SUM(J32:L32)</f>
        <v>296.59090909090907</v>
      </c>
      <c r="N32" s="323">
        <f>M32/$M$32</f>
        <v>1</v>
      </c>
    </row>
    <row r="34" spans="9:12" x14ac:dyDescent="0.3">
      <c r="I34" s="84" t="s">
        <v>1505</v>
      </c>
      <c r="J34" s="88">
        <f>C12</f>
        <v>150</v>
      </c>
      <c r="K34" s="88">
        <f>C13</f>
        <v>300</v>
      </c>
      <c r="L34" s="88">
        <f>C14</f>
        <v>600</v>
      </c>
    </row>
  </sheetData>
  <mergeCells count="4">
    <mergeCell ref="C10:F10"/>
    <mergeCell ref="C22:G22"/>
    <mergeCell ref="I22:M22"/>
    <mergeCell ref="C24:G25"/>
  </mergeCells>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F4617-92A8-4B00-8322-CEED3DE22066}">
  <sheetPr>
    <tabColor theme="5" tint="0.39997558519241921"/>
  </sheetPr>
  <dimension ref="A1:M100"/>
  <sheetViews>
    <sheetView zoomScaleNormal="100" workbookViewId="0">
      <selection activeCell="Q46" sqref="Q46"/>
    </sheetView>
  </sheetViews>
  <sheetFormatPr defaultRowHeight="14.4" x14ac:dyDescent="0.3"/>
  <cols>
    <col min="3" max="3" width="23.44140625" customWidth="1"/>
    <col min="4" max="4" width="14.6640625" customWidth="1"/>
    <col min="5" max="5" width="12.6640625" customWidth="1"/>
    <col min="19" max="19" width="10.33203125" bestFit="1" customWidth="1"/>
  </cols>
  <sheetData>
    <row r="1" spans="1:8" ht="15" thickBot="1" x14ac:dyDescent="0.35">
      <c r="A1" t="s">
        <v>1244</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s="99" t="s">
        <v>1243</v>
      </c>
    </row>
    <row r="13" spans="1:8" x14ac:dyDescent="0.3">
      <c r="C13" t="s">
        <v>1242</v>
      </c>
    </row>
    <row r="14" spans="1:8" x14ac:dyDescent="0.3">
      <c r="C14" s="14" t="s">
        <v>332</v>
      </c>
      <c r="D14" t="s">
        <v>1241</v>
      </c>
    </row>
    <row r="15" spans="1:8" x14ac:dyDescent="0.3">
      <c r="C15" s="108">
        <v>125</v>
      </c>
      <c r="D15" t="s">
        <v>1240</v>
      </c>
    </row>
    <row r="17" spans="1:13" x14ac:dyDescent="0.3">
      <c r="C17" s="418" t="s">
        <v>1239</v>
      </c>
      <c r="D17" s="389" t="s">
        <v>1238</v>
      </c>
    </row>
    <row r="18" spans="1:13" x14ac:dyDescent="0.3">
      <c r="C18" s="418"/>
      <c r="D18" s="389"/>
    </row>
    <row r="19" spans="1:13" x14ac:dyDescent="0.3">
      <c r="C19" s="14" t="s">
        <v>213</v>
      </c>
      <c r="D19" s="108">
        <v>600</v>
      </c>
    </row>
    <row r="20" spans="1:13" x14ac:dyDescent="0.3">
      <c r="C20" s="14" t="s">
        <v>1234</v>
      </c>
      <c r="D20" s="108">
        <v>480</v>
      </c>
    </row>
    <row r="21" spans="1:13" ht="15" thickBot="1" x14ac:dyDescent="0.35"/>
    <row r="22" spans="1:13" ht="15" thickBot="1" x14ac:dyDescent="0.35">
      <c r="C22" s="375" t="s">
        <v>4</v>
      </c>
      <c r="D22" s="376"/>
      <c r="E22" s="376"/>
      <c r="F22" s="376"/>
      <c r="G22" s="377"/>
      <c r="I22" s="375" t="s">
        <v>3</v>
      </c>
      <c r="J22" s="376"/>
      <c r="K22" s="376"/>
      <c r="L22" s="376"/>
      <c r="M22" s="377"/>
    </row>
    <row r="23" spans="1:13" s="26" customFormat="1" x14ac:dyDescent="0.3">
      <c r="A23" s="26" t="s">
        <v>54</v>
      </c>
    </row>
    <row r="24" spans="1:13" x14ac:dyDescent="0.3">
      <c r="C24" s="419" t="s">
        <v>1237</v>
      </c>
      <c r="D24" s="420"/>
      <c r="E24" s="420"/>
      <c r="F24" s="420"/>
      <c r="G24" s="421"/>
    </row>
    <row r="25" spans="1:13" x14ac:dyDescent="0.3">
      <c r="C25" s="422"/>
      <c r="D25" s="423"/>
      <c r="E25" s="423"/>
      <c r="F25" s="423"/>
      <c r="G25" s="424"/>
    </row>
    <row r="28" spans="1:13" x14ac:dyDescent="0.3">
      <c r="C28" s="84" t="s">
        <v>1236</v>
      </c>
      <c r="D28" t="s">
        <v>979</v>
      </c>
    </row>
    <row r="29" spans="1:13" x14ac:dyDescent="0.3">
      <c r="C29" s="23" t="s">
        <v>1235</v>
      </c>
      <c r="D29" s="23" t="s">
        <v>213</v>
      </c>
      <c r="E29" s="23" t="s">
        <v>1234</v>
      </c>
    </row>
    <row r="30" spans="1:13" x14ac:dyDescent="0.3">
      <c r="C30" s="14" t="s">
        <v>1233</v>
      </c>
      <c r="D30" s="2">
        <v>0.7</v>
      </c>
      <c r="E30" s="2">
        <v>0.30000000000000004</v>
      </c>
    </row>
    <row r="31" spans="1:13" x14ac:dyDescent="0.3">
      <c r="C31" s="14" t="s">
        <v>1232</v>
      </c>
      <c r="D31" s="2">
        <v>0.55000000000000004</v>
      </c>
      <c r="E31" s="2">
        <v>0.44999999999999996</v>
      </c>
    </row>
    <row r="32" spans="1:13" x14ac:dyDescent="0.3">
      <c r="C32" s="14" t="s">
        <v>1231</v>
      </c>
      <c r="D32" s="2">
        <v>0.45</v>
      </c>
      <c r="E32" s="2">
        <v>0.55000000000000004</v>
      </c>
    </row>
    <row r="33" spans="3:5" x14ac:dyDescent="0.3">
      <c r="C33" s="14" t="s">
        <v>1230</v>
      </c>
      <c r="D33" s="2">
        <v>0.3</v>
      </c>
      <c r="E33" s="2">
        <v>0.7</v>
      </c>
    </row>
    <row r="35" spans="3:5" x14ac:dyDescent="0.3">
      <c r="D35" t="s">
        <v>1229</v>
      </c>
    </row>
    <row r="36" spans="3:5" x14ac:dyDescent="0.3">
      <c r="C36" s="23" t="s">
        <v>1228</v>
      </c>
      <c r="D36" s="23" t="s">
        <v>1227</v>
      </c>
      <c r="E36" s="23" t="s">
        <v>1226</v>
      </c>
    </row>
    <row r="37" spans="3:5" x14ac:dyDescent="0.3">
      <c r="C37" s="14" t="s">
        <v>1225</v>
      </c>
      <c r="D37" s="2">
        <v>1.08</v>
      </c>
      <c r="E37" s="2">
        <v>0.23789473684210485</v>
      </c>
    </row>
    <row r="38" spans="3:5" x14ac:dyDescent="0.3">
      <c r="C38" s="14" t="s">
        <v>1224</v>
      </c>
      <c r="D38" s="2">
        <v>1.19</v>
      </c>
      <c r="E38" s="2">
        <v>0.55666666666666675</v>
      </c>
    </row>
    <row r="39" spans="3:5" x14ac:dyDescent="0.3">
      <c r="C39" s="14" t="s">
        <v>1223</v>
      </c>
      <c r="D39" s="2">
        <v>1.27</v>
      </c>
      <c r="E39" s="2">
        <v>0.66999999999999982</v>
      </c>
    </row>
    <row r="40" spans="3:5" x14ac:dyDescent="0.3">
      <c r="C40" s="14" t="s">
        <v>1222</v>
      </c>
      <c r="D40" s="2">
        <v>1.32</v>
      </c>
      <c r="E40" s="2">
        <v>0.73818181818181794</v>
      </c>
    </row>
    <row r="41" spans="3:5" x14ac:dyDescent="0.3">
      <c r="C41" s="14" t="s">
        <v>1221</v>
      </c>
      <c r="D41" s="2">
        <v>1.39</v>
      </c>
      <c r="E41" s="2">
        <v>0.83285714285714285</v>
      </c>
    </row>
    <row r="42" spans="3:5" x14ac:dyDescent="0.3">
      <c r="C42" s="14" t="s">
        <v>1220</v>
      </c>
      <c r="D42" s="2">
        <v>1.51</v>
      </c>
      <c r="E42" s="2">
        <v>0.94333333333333325</v>
      </c>
    </row>
    <row r="44" spans="3:5" x14ac:dyDescent="0.3">
      <c r="D44" s="84" t="s">
        <v>1219</v>
      </c>
      <c r="E44" s="98">
        <v>0.05</v>
      </c>
    </row>
    <row r="45" spans="3:5" x14ac:dyDescent="0.3">
      <c r="D45" s="84"/>
      <c r="E45" s="98"/>
    </row>
    <row r="46" spans="3:5" x14ac:dyDescent="0.3">
      <c r="D46" s="84"/>
      <c r="E46" s="98"/>
    </row>
    <row r="47" spans="3:5" x14ac:dyDescent="0.3">
      <c r="D47" s="84"/>
      <c r="E47" s="98"/>
    </row>
    <row r="48" spans="3:5" x14ac:dyDescent="0.3">
      <c r="D48" s="84"/>
      <c r="E48" s="98"/>
    </row>
    <row r="49" spans="1:5" x14ac:dyDescent="0.3">
      <c r="D49" s="84"/>
      <c r="E49" s="98"/>
    </row>
    <row r="50" spans="1:5" x14ac:dyDescent="0.3">
      <c r="D50" s="84"/>
      <c r="E50" s="98"/>
    </row>
    <row r="51" spans="1:5" x14ac:dyDescent="0.3">
      <c r="D51" s="84"/>
      <c r="E51" s="98"/>
    </row>
    <row r="52" spans="1:5" x14ac:dyDescent="0.3">
      <c r="D52" s="84"/>
      <c r="E52" s="98"/>
    </row>
    <row r="53" spans="1:5" x14ac:dyDescent="0.3">
      <c r="D53" s="84"/>
      <c r="E53" s="98"/>
    </row>
    <row r="54" spans="1:5" x14ac:dyDescent="0.3">
      <c r="D54" s="84"/>
      <c r="E54" s="98"/>
    </row>
    <row r="55" spans="1:5" x14ac:dyDescent="0.3">
      <c r="D55" s="84"/>
      <c r="E55" s="98"/>
    </row>
    <row r="56" spans="1:5" x14ac:dyDescent="0.3">
      <c r="D56" s="84"/>
      <c r="E56" s="98"/>
    </row>
    <row r="57" spans="1:5" x14ac:dyDescent="0.3">
      <c r="D57" s="84"/>
      <c r="E57" s="98"/>
    </row>
    <row r="58" spans="1:5" x14ac:dyDescent="0.3">
      <c r="D58" s="84"/>
      <c r="E58" s="98"/>
    </row>
    <row r="59" spans="1:5" x14ac:dyDescent="0.3">
      <c r="D59" s="84"/>
      <c r="E59" s="98"/>
    </row>
    <row r="60" spans="1:5" x14ac:dyDescent="0.3">
      <c r="D60" s="84"/>
      <c r="E60" s="98"/>
    </row>
    <row r="61" spans="1:5" x14ac:dyDescent="0.3">
      <c r="D61" s="84"/>
      <c r="E61" s="98"/>
    </row>
    <row r="63" spans="1:5" s="26" customFormat="1" x14ac:dyDescent="0.3">
      <c r="A63" s="26" t="s">
        <v>27</v>
      </c>
    </row>
    <row r="64" spans="1:5" ht="15" thickBot="1" x14ac:dyDescent="0.35"/>
    <row r="65" spans="3:13" ht="15" thickBot="1" x14ac:dyDescent="0.35">
      <c r="C65" s="375" t="s">
        <v>4</v>
      </c>
      <c r="D65" s="376"/>
      <c r="E65" s="376"/>
      <c r="F65" s="376"/>
      <c r="G65" s="377"/>
      <c r="I65" s="375" t="s">
        <v>3</v>
      </c>
      <c r="J65" s="376"/>
      <c r="K65" s="376"/>
      <c r="L65" s="376"/>
      <c r="M65" s="377"/>
    </row>
    <row r="67" spans="3:13" x14ac:dyDescent="0.3">
      <c r="C67" s="98">
        <v>0.9</v>
      </c>
      <c r="D67" s="83" t="s">
        <v>1218</v>
      </c>
    </row>
    <row r="68" spans="3:13" x14ac:dyDescent="0.3">
      <c r="C68" s="109">
        <v>675</v>
      </c>
      <c r="D68" s="83" t="s">
        <v>1217</v>
      </c>
    </row>
    <row r="69" spans="3:13" x14ac:dyDescent="0.3">
      <c r="C69" s="109">
        <v>708.75</v>
      </c>
      <c r="D69" s="83" t="s">
        <v>1216</v>
      </c>
    </row>
    <row r="70" spans="3:13" x14ac:dyDescent="0.3">
      <c r="C70" s="136">
        <v>0</v>
      </c>
      <c r="D70" s="83" t="s">
        <v>1215</v>
      </c>
    </row>
    <row r="71" spans="3:13" x14ac:dyDescent="0.3">
      <c r="C71" s="136">
        <v>0</v>
      </c>
      <c r="D71" s="83" t="s">
        <v>1214</v>
      </c>
    </row>
    <row r="72" spans="3:13" x14ac:dyDescent="0.3">
      <c r="C72" s="136">
        <v>0.1</v>
      </c>
      <c r="D72" s="83" t="s">
        <v>1213</v>
      </c>
    </row>
    <row r="73" spans="3:13" x14ac:dyDescent="0.3">
      <c r="C73" s="136">
        <v>0.25</v>
      </c>
      <c r="D73" s="83" t="s">
        <v>1212</v>
      </c>
    </row>
    <row r="81" spans="2:3" x14ac:dyDescent="0.3">
      <c r="C81" s="109"/>
    </row>
    <row r="96" spans="2:3" x14ac:dyDescent="0.3">
      <c r="B96" s="109"/>
      <c r="C96" s="83"/>
    </row>
    <row r="97" spans="2:3" x14ac:dyDescent="0.3">
      <c r="B97" s="136"/>
      <c r="C97" s="83"/>
    </row>
    <row r="98" spans="2:3" x14ac:dyDescent="0.3">
      <c r="B98" s="136"/>
      <c r="C98" s="83"/>
    </row>
    <row r="99" spans="2:3" x14ac:dyDescent="0.3">
      <c r="B99" s="136"/>
      <c r="C99" s="83"/>
    </row>
    <row r="100" spans="2:3" x14ac:dyDescent="0.3">
      <c r="B100" s="136"/>
      <c r="C100" s="83"/>
    </row>
  </sheetData>
  <mergeCells count="8">
    <mergeCell ref="C65:G65"/>
    <mergeCell ref="I65:M65"/>
    <mergeCell ref="C10:F10"/>
    <mergeCell ref="C17:C18"/>
    <mergeCell ref="D17:D18"/>
    <mergeCell ref="C22:G22"/>
    <mergeCell ref="I22:M22"/>
    <mergeCell ref="C24:G25"/>
  </mergeCells>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2486F-921A-40F0-8394-9D60331CE1A9}">
  <sheetPr>
    <tabColor theme="9" tint="0.59999389629810485"/>
  </sheetPr>
  <dimension ref="A1:AE100"/>
  <sheetViews>
    <sheetView topLeftCell="A36" zoomScaleNormal="100" workbookViewId="0">
      <selection activeCell="I63" sqref="I63"/>
    </sheetView>
  </sheetViews>
  <sheetFormatPr defaultRowHeight="14.4" x14ac:dyDescent="0.3"/>
  <cols>
    <col min="3" max="3" width="23.44140625" customWidth="1"/>
    <col min="4" max="4" width="14.6640625" customWidth="1"/>
    <col min="5" max="5" width="12.6640625" customWidth="1"/>
    <col min="19" max="19" width="10.33203125" bestFit="1" customWidth="1"/>
  </cols>
  <sheetData>
    <row r="1" spans="1:8" ht="15" thickBot="1" x14ac:dyDescent="0.35">
      <c r="A1" t="s">
        <v>1244</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s="99" t="s">
        <v>1243</v>
      </c>
    </row>
    <row r="13" spans="1:8" x14ac:dyDescent="0.3">
      <c r="C13" t="s">
        <v>1242</v>
      </c>
    </row>
    <row r="14" spans="1:8" x14ac:dyDescent="0.3">
      <c r="C14" s="14" t="s">
        <v>332</v>
      </c>
      <c r="D14" t="s">
        <v>1241</v>
      </c>
    </row>
    <row r="15" spans="1:8" x14ac:dyDescent="0.3">
      <c r="C15" s="108">
        <v>125</v>
      </c>
      <c r="D15" t="s">
        <v>1240</v>
      </c>
    </row>
    <row r="17" spans="1:13" x14ac:dyDescent="0.3">
      <c r="C17" s="418" t="s">
        <v>1239</v>
      </c>
      <c r="D17" s="389" t="s">
        <v>1238</v>
      </c>
    </row>
    <row r="18" spans="1:13" x14ac:dyDescent="0.3">
      <c r="C18" s="418"/>
      <c r="D18" s="389"/>
    </row>
    <row r="19" spans="1:13" x14ac:dyDescent="0.3">
      <c r="C19" s="14" t="s">
        <v>213</v>
      </c>
      <c r="D19" s="108">
        <v>600</v>
      </c>
    </row>
    <row r="20" spans="1:13" x14ac:dyDescent="0.3">
      <c r="C20" s="14" t="s">
        <v>1234</v>
      </c>
      <c r="D20" s="108">
        <v>480</v>
      </c>
    </row>
    <row r="21" spans="1:13" ht="15" thickBot="1" x14ac:dyDescent="0.35"/>
    <row r="22" spans="1:13" ht="15" thickBot="1" x14ac:dyDescent="0.35">
      <c r="C22" s="375" t="s">
        <v>4</v>
      </c>
      <c r="D22" s="376"/>
      <c r="E22" s="376"/>
      <c r="F22" s="376"/>
      <c r="G22" s="377"/>
      <c r="I22" s="375" t="s">
        <v>3</v>
      </c>
      <c r="J22" s="376"/>
      <c r="K22" s="376"/>
      <c r="L22" s="376"/>
      <c r="M22" s="377"/>
    </row>
    <row r="23" spans="1:13" s="26" customFormat="1" x14ac:dyDescent="0.3">
      <c r="A23" s="26" t="s">
        <v>54</v>
      </c>
    </row>
    <row r="24" spans="1:13" x14ac:dyDescent="0.3">
      <c r="C24" s="419" t="s">
        <v>1237</v>
      </c>
      <c r="D24" s="420"/>
      <c r="E24" s="420"/>
      <c r="F24" s="420"/>
      <c r="G24" s="421"/>
      <c r="I24" s="328" t="s">
        <v>431</v>
      </c>
    </row>
    <row r="25" spans="1:13" x14ac:dyDescent="0.3">
      <c r="C25" s="422"/>
      <c r="D25" s="423"/>
      <c r="E25" s="423"/>
      <c r="F25" s="423"/>
      <c r="G25" s="424"/>
      <c r="I25" s="57">
        <f>C15/D19</f>
        <v>0.20833333333333334</v>
      </c>
      <c r="J25" t="s">
        <v>1533</v>
      </c>
    </row>
    <row r="27" spans="1:13" x14ac:dyDescent="0.3">
      <c r="I27" t="s">
        <v>1532</v>
      </c>
    </row>
    <row r="28" spans="1:13" x14ac:dyDescent="0.3">
      <c r="C28" s="84" t="s">
        <v>1236</v>
      </c>
      <c r="D28" t="s">
        <v>979</v>
      </c>
      <c r="I28" s="98">
        <f>D30</f>
        <v>0.7</v>
      </c>
      <c r="J28" t="s">
        <v>213</v>
      </c>
    </row>
    <row r="29" spans="1:13" x14ac:dyDescent="0.3">
      <c r="C29" s="23" t="s">
        <v>1235</v>
      </c>
      <c r="D29" s="23" t="s">
        <v>213</v>
      </c>
      <c r="E29" s="23" t="s">
        <v>1234</v>
      </c>
      <c r="I29" s="98">
        <f>E30</f>
        <v>0.30000000000000004</v>
      </c>
      <c r="J29" t="s">
        <v>1234</v>
      </c>
    </row>
    <row r="30" spans="1:13" x14ac:dyDescent="0.3">
      <c r="C30" s="14" t="s">
        <v>1233</v>
      </c>
      <c r="D30" s="2">
        <v>0.7</v>
      </c>
      <c r="E30" s="2">
        <v>0.30000000000000004</v>
      </c>
    </row>
    <row r="31" spans="1:13" x14ac:dyDescent="0.3">
      <c r="C31" s="14" t="s">
        <v>1232</v>
      </c>
      <c r="D31" s="2">
        <v>0.55000000000000004</v>
      </c>
      <c r="E31" s="2">
        <v>0.44999999999999996</v>
      </c>
      <c r="I31" t="s">
        <v>1531</v>
      </c>
    </row>
    <row r="32" spans="1:13" x14ac:dyDescent="0.3">
      <c r="C32" s="14" t="s">
        <v>1231</v>
      </c>
      <c r="D32" s="2">
        <v>0.45</v>
      </c>
      <c r="E32" s="2">
        <v>0.55000000000000004</v>
      </c>
      <c r="I32" s="98">
        <f>D38</f>
        <v>1.19</v>
      </c>
      <c r="J32" t="s">
        <v>213</v>
      </c>
    </row>
    <row r="33" spans="3:15" x14ac:dyDescent="0.3">
      <c r="C33" s="14" t="s">
        <v>1230</v>
      </c>
      <c r="D33" s="2">
        <v>0.3</v>
      </c>
      <c r="E33" s="2">
        <v>0.7</v>
      </c>
      <c r="I33" s="98">
        <f>E38</f>
        <v>0.55666666666666675</v>
      </c>
      <c r="J33" t="s">
        <v>1234</v>
      </c>
    </row>
    <row r="35" spans="3:15" x14ac:dyDescent="0.3">
      <c r="D35" t="s">
        <v>1229</v>
      </c>
      <c r="I35" s="14"/>
      <c r="J35" s="14"/>
      <c r="K35" s="14"/>
      <c r="L35" s="14"/>
      <c r="M35" s="14"/>
      <c r="N35" s="14"/>
      <c r="O35" s="14" t="s">
        <v>1517</v>
      </c>
    </row>
    <row r="36" spans="3:15" x14ac:dyDescent="0.3">
      <c r="C36" s="23" t="s">
        <v>1228</v>
      </c>
      <c r="D36" s="23" t="s">
        <v>1227</v>
      </c>
      <c r="E36" s="23" t="s">
        <v>1226</v>
      </c>
      <c r="I36" s="23" t="s">
        <v>284</v>
      </c>
      <c r="J36" s="23" t="s">
        <v>957</v>
      </c>
      <c r="K36" s="23" t="s">
        <v>1517</v>
      </c>
      <c r="L36" s="23" t="s">
        <v>647</v>
      </c>
      <c r="M36" s="23" t="s">
        <v>1530</v>
      </c>
      <c r="N36" s="23"/>
      <c r="O36" s="23" t="s">
        <v>1529</v>
      </c>
    </row>
    <row r="37" spans="3:15" x14ac:dyDescent="0.3">
      <c r="C37" s="14" t="s">
        <v>1225</v>
      </c>
      <c r="D37" s="2">
        <v>1.08</v>
      </c>
      <c r="E37" s="2">
        <v>0.23789473684210485</v>
      </c>
      <c r="I37" s="14" t="s">
        <v>213</v>
      </c>
      <c r="J37" s="2">
        <f>I28</f>
        <v>0.7</v>
      </c>
      <c r="K37" s="108">
        <f>D19</f>
        <v>600</v>
      </c>
      <c r="L37" s="108">
        <f>K37*I32</f>
        <v>714</v>
      </c>
      <c r="M37" s="204">
        <f>M39</f>
        <v>1.0282978723404257</v>
      </c>
      <c r="N37" s="14"/>
      <c r="O37" s="137">
        <f>K37*M37</f>
        <v>616.97872340425545</v>
      </c>
    </row>
    <row r="38" spans="3:15" x14ac:dyDescent="0.3">
      <c r="C38" s="14" t="s">
        <v>1224</v>
      </c>
      <c r="D38" s="2">
        <v>1.19</v>
      </c>
      <c r="E38" s="2">
        <v>0.55666666666666675</v>
      </c>
      <c r="I38" s="23" t="s">
        <v>1234</v>
      </c>
      <c r="J38" s="19">
        <f>I29</f>
        <v>0.30000000000000004</v>
      </c>
      <c r="K38" s="169">
        <f>D20</f>
        <v>480</v>
      </c>
      <c r="L38" s="232">
        <f>K38*I33</f>
        <v>267.20000000000005</v>
      </c>
      <c r="M38" s="327">
        <f>M39</f>
        <v>1.0282978723404257</v>
      </c>
      <c r="N38" s="23"/>
      <c r="O38" s="232">
        <f>K38*M38</f>
        <v>493.58297872340432</v>
      </c>
    </row>
    <row r="39" spans="3:15" x14ac:dyDescent="0.3">
      <c r="C39" s="14" t="s">
        <v>1223</v>
      </c>
      <c r="D39" s="2">
        <v>1.27</v>
      </c>
      <c r="E39" s="2">
        <v>0.66999999999999982</v>
      </c>
      <c r="I39" s="14"/>
      <c r="J39" s="14"/>
      <c r="K39" s="137">
        <f>SUMPRODUCT(K37:K38,J37:J38)</f>
        <v>564</v>
      </c>
      <c r="L39" s="137">
        <f>SUMPRODUCT(L37:L38,J37:J38)</f>
        <v>579.96</v>
      </c>
      <c r="M39" s="204">
        <f>L39/K39</f>
        <v>1.0282978723404257</v>
      </c>
      <c r="N39" s="14"/>
      <c r="O39" s="137">
        <f>SUMPRODUCT(O37:O38,J37:J38)</f>
        <v>579.96000000000015</v>
      </c>
    </row>
    <row r="40" spans="3:15" x14ac:dyDescent="0.3">
      <c r="C40" s="14" t="s">
        <v>1222</v>
      </c>
      <c r="D40" s="2">
        <v>1.32</v>
      </c>
      <c r="E40" s="2">
        <v>0.73818181818181794</v>
      </c>
    </row>
    <row r="41" spans="3:15" x14ac:dyDescent="0.3">
      <c r="C41" s="14" t="s">
        <v>1221</v>
      </c>
      <c r="D41" s="2">
        <v>1.39</v>
      </c>
      <c r="E41" s="2">
        <v>0.83285714285714285</v>
      </c>
    </row>
    <row r="42" spans="3:15" x14ac:dyDescent="0.3">
      <c r="C42" s="14" t="s">
        <v>1220</v>
      </c>
      <c r="D42" s="2">
        <v>1.51</v>
      </c>
      <c r="E42" s="2">
        <v>0.94333333333333325</v>
      </c>
      <c r="I42" s="328" t="s">
        <v>239</v>
      </c>
    </row>
    <row r="43" spans="3:15" x14ac:dyDescent="0.3">
      <c r="I43" s="144">
        <f>C15/(D19*(1+$E$44))</f>
        <v>0.1984126984126984</v>
      </c>
      <c r="J43" t="s">
        <v>1533</v>
      </c>
    </row>
    <row r="44" spans="3:15" x14ac:dyDescent="0.3">
      <c r="D44" s="84" t="s">
        <v>1219</v>
      </c>
      <c r="E44" s="98">
        <v>0.05</v>
      </c>
    </row>
    <row r="45" spans="3:15" x14ac:dyDescent="0.3">
      <c r="D45" s="84"/>
      <c r="E45" s="98"/>
      <c r="I45" t="s">
        <v>1532</v>
      </c>
    </row>
    <row r="46" spans="3:15" x14ac:dyDescent="0.3">
      <c r="D46" s="84"/>
      <c r="E46" s="98"/>
      <c r="I46" s="98">
        <f>D31</f>
        <v>0.55000000000000004</v>
      </c>
      <c r="J46" t="s">
        <v>213</v>
      </c>
    </row>
    <row r="47" spans="3:15" x14ac:dyDescent="0.3">
      <c r="D47" s="84"/>
      <c r="E47" s="98"/>
      <c r="I47" s="98">
        <f>E31</f>
        <v>0.44999999999999996</v>
      </c>
      <c r="J47" t="s">
        <v>1234</v>
      </c>
    </row>
    <row r="48" spans="3:15" x14ac:dyDescent="0.3">
      <c r="D48" s="84"/>
      <c r="E48" s="98"/>
    </row>
    <row r="49" spans="1:23" x14ac:dyDescent="0.3">
      <c r="D49" s="84"/>
      <c r="E49" s="98"/>
      <c r="I49" t="s">
        <v>1531</v>
      </c>
    </row>
    <row r="50" spans="1:23" x14ac:dyDescent="0.3">
      <c r="D50" s="84"/>
      <c r="E50" s="98"/>
      <c r="I50" s="98">
        <f>D39</f>
        <v>1.27</v>
      </c>
      <c r="J50" t="s">
        <v>213</v>
      </c>
    </row>
    <row r="51" spans="1:23" x14ac:dyDescent="0.3">
      <c r="D51" s="84"/>
      <c r="E51" s="98"/>
      <c r="I51" s="98">
        <f>E39</f>
        <v>0.66999999999999982</v>
      </c>
      <c r="J51" t="s">
        <v>1234</v>
      </c>
    </row>
    <row r="52" spans="1:23" x14ac:dyDescent="0.3">
      <c r="D52" s="84"/>
      <c r="E52" s="98"/>
    </row>
    <row r="53" spans="1:23" x14ac:dyDescent="0.3">
      <c r="D53" s="84"/>
      <c r="E53" s="98"/>
      <c r="I53" s="14"/>
      <c r="J53" s="14"/>
      <c r="K53" s="14"/>
      <c r="L53" s="14"/>
      <c r="M53" s="14"/>
      <c r="N53" s="14"/>
      <c r="O53" s="14" t="s">
        <v>1517</v>
      </c>
    </row>
    <row r="54" spans="1:23" x14ac:dyDescent="0.3">
      <c r="D54" s="84"/>
      <c r="E54" s="98"/>
      <c r="I54" s="23" t="s">
        <v>284</v>
      </c>
      <c r="J54" s="23" t="s">
        <v>957</v>
      </c>
      <c r="K54" s="23" t="s">
        <v>1517</v>
      </c>
      <c r="L54" s="23" t="s">
        <v>647</v>
      </c>
      <c r="M54" s="23" t="s">
        <v>1530</v>
      </c>
      <c r="N54" s="23"/>
      <c r="O54" s="23" t="s">
        <v>1529</v>
      </c>
    </row>
    <row r="55" spans="1:23" x14ac:dyDescent="0.3">
      <c r="D55" s="84"/>
      <c r="E55" s="98"/>
      <c r="I55" s="14" t="s">
        <v>213</v>
      </c>
      <c r="J55" s="2">
        <f>I46</f>
        <v>0.55000000000000004</v>
      </c>
      <c r="K55" s="108">
        <f>D19*(1+$E$44)</f>
        <v>630</v>
      </c>
      <c r="L55" s="108">
        <f>K55*I50</f>
        <v>800.1</v>
      </c>
      <c r="M55" s="204">
        <f>M57</f>
        <v>1.0326373626373626</v>
      </c>
      <c r="N55" s="14"/>
      <c r="O55" s="137">
        <f>K55*M55</f>
        <v>650.56153846153848</v>
      </c>
    </row>
    <row r="56" spans="1:23" x14ac:dyDescent="0.3">
      <c r="D56" s="84"/>
      <c r="E56" s="98"/>
      <c r="I56" s="23" t="s">
        <v>1234</v>
      </c>
      <c r="J56" s="19">
        <f>I47</f>
        <v>0.44999999999999996</v>
      </c>
      <c r="K56" s="169">
        <f>D20*(1+$E$44)</f>
        <v>504</v>
      </c>
      <c r="L56" s="232">
        <f>K56*I51</f>
        <v>337.67999999999989</v>
      </c>
      <c r="M56" s="327">
        <f>M57</f>
        <v>1.0326373626373626</v>
      </c>
      <c r="N56" s="23"/>
      <c r="O56" s="232">
        <f>K56*M56</f>
        <v>520.44923076923078</v>
      </c>
    </row>
    <row r="57" spans="1:23" x14ac:dyDescent="0.3">
      <c r="D57" s="84"/>
      <c r="E57" s="98"/>
      <c r="I57" s="14"/>
      <c r="J57" s="14"/>
      <c r="K57" s="137">
        <f>SUMPRODUCT(K55:K56,J55:J56)</f>
        <v>573.29999999999995</v>
      </c>
      <c r="L57" s="137">
        <f>SUMPRODUCT(L55:L56,J55:J56)</f>
        <v>592.01099999999997</v>
      </c>
      <c r="M57" s="204">
        <f>L57/K57</f>
        <v>1.0326373626373626</v>
      </c>
      <c r="N57" s="14"/>
      <c r="O57" s="137">
        <f>SUMPRODUCT(O55:O56,J55:J56)</f>
        <v>592.01100000000008</v>
      </c>
    </row>
    <row r="58" spans="1:23" x14ac:dyDescent="0.3">
      <c r="D58" s="84"/>
      <c r="E58" s="98"/>
    </row>
    <row r="59" spans="1:23" x14ac:dyDescent="0.3">
      <c r="D59" s="84"/>
      <c r="E59" s="98"/>
      <c r="I59" s="14" t="s">
        <v>1528</v>
      </c>
    </row>
    <row r="60" spans="1:23" x14ac:dyDescent="0.3">
      <c r="D60" s="84"/>
      <c r="E60" s="98"/>
      <c r="H60" s="14" t="s">
        <v>883</v>
      </c>
      <c r="I60" s="12">
        <f>O56/O38-1</f>
        <v>5.4431074822136161E-2</v>
      </c>
      <c r="J60" s="9" t="s">
        <v>1527</v>
      </c>
      <c r="K60" s="9"/>
      <c r="L60" s="9"/>
      <c r="M60" s="9"/>
      <c r="N60" s="9"/>
      <c r="O60" s="9"/>
      <c r="P60" s="9"/>
      <c r="Q60" s="9"/>
      <c r="R60" s="9"/>
      <c r="S60" s="9"/>
      <c r="T60" s="9"/>
      <c r="U60" s="9"/>
    </row>
    <row r="61" spans="1:23" x14ac:dyDescent="0.3">
      <c r="D61" s="84"/>
      <c r="E61" s="98"/>
      <c r="H61" s="14" t="s">
        <v>882</v>
      </c>
      <c r="I61" s="12">
        <f>L56/L38-1</f>
        <v>0.26377245508981972</v>
      </c>
      <c r="J61" s="9" t="s">
        <v>1526</v>
      </c>
      <c r="K61" s="9"/>
      <c r="L61" s="9"/>
      <c r="M61" s="9"/>
      <c r="N61" s="9"/>
      <c r="O61" s="9"/>
      <c r="P61" s="9"/>
      <c r="Q61" s="9"/>
      <c r="R61" s="9"/>
      <c r="S61" s="9"/>
      <c r="T61" s="9"/>
      <c r="U61" s="9"/>
      <c r="V61" s="9"/>
      <c r="W61" s="9"/>
    </row>
    <row r="63" spans="1:23" s="26" customFormat="1" x14ac:dyDescent="0.3">
      <c r="A63" s="26" t="s">
        <v>27</v>
      </c>
    </row>
    <row r="64" spans="1:23" ht="15" thickBot="1" x14ac:dyDescent="0.35"/>
    <row r="65" spans="3:24" ht="15" thickBot="1" x14ac:dyDescent="0.35">
      <c r="C65" s="375" t="s">
        <v>4</v>
      </c>
      <c r="D65" s="376"/>
      <c r="E65" s="376"/>
      <c r="F65" s="376"/>
      <c r="G65" s="377"/>
      <c r="I65" s="375" t="s">
        <v>3</v>
      </c>
      <c r="J65" s="376"/>
      <c r="K65" s="376"/>
      <c r="L65" s="376"/>
      <c r="M65" s="377"/>
    </row>
    <row r="67" spans="3:24" x14ac:dyDescent="0.3">
      <c r="C67" s="98">
        <v>0.9</v>
      </c>
      <c r="D67" s="83" t="s">
        <v>1218</v>
      </c>
      <c r="I67" t="s">
        <v>213</v>
      </c>
      <c r="J67" s="109">
        <f>C69</f>
        <v>708.75</v>
      </c>
      <c r="K67" s="187" t="s">
        <v>1525</v>
      </c>
      <c r="L67" s="187"/>
      <c r="M67" s="187"/>
      <c r="N67" s="187"/>
      <c r="O67" s="187"/>
      <c r="P67" s="187"/>
      <c r="Q67" s="187"/>
      <c r="R67" s="187"/>
      <c r="S67" s="187"/>
      <c r="T67" s="187"/>
      <c r="U67" s="187"/>
      <c r="V67" s="187"/>
      <c r="W67" s="187"/>
      <c r="X67" s="187"/>
    </row>
    <row r="68" spans="3:24" x14ac:dyDescent="0.3">
      <c r="C68" s="109">
        <v>675</v>
      </c>
      <c r="D68" s="83" t="s">
        <v>1217</v>
      </c>
      <c r="I68" t="s">
        <v>1234</v>
      </c>
      <c r="J68" s="109">
        <f>J67*(1-C72)</f>
        <v>637.875</v>
      </c>
      <c r="K68" s="187" t="s">
        <v>1524</v>
      </c>
      <c r="L68" s="187"/>
      <c r="M68" s="187"/>
      <c r="N68" s="187"/>
      <c r="O68" s="187"/>
      <c r="P68" s="187"/>
      <c r="Q68" s="187"/>
      <c r="R68" s="187"/>
      <c r="S68" s="187"/>
    </row>
    <row r="69" spans="3:24" x14ac:dyDescent="0.3">
      <c r="C69" s="109">
        <v>708.75</v>
      </c>
      <c r="D69" s="83" t="s">
        <v>1216</v>
      </c>
    </row>
    <row r="70" spans="3:24" x14ac:dyDescent="0.3">
      <c r="C70" s="136">
        <v>0</v>
      </c>
      <c r="D70" s="83" t="s">
        <v>1215</v>
      </c>
      <c r="I70" s="99" t="s">
        <v>1523</v>
      </c>
    </row>
    <row r="71" spans="3:24" x14ac:dyDescent="0.3">
      <c r="C71" s="136">
        <v>0</v>
      </c>
      <c r="D71" s="83" t="s">
        <v>1214</v>
      </c>
    </row>
    <row r="72" spans="3:24" x14ac:dyDescent="0.3">
      <c r="C72" s="136">
        <v>0.1</v>
      </c>
      <c r="D72" s="83" t="s">
        <v>1213</v>
      </c>
      <c r="I72" t="s">
        <v>284</v>
      </c>
      <c r="J72" t="s">
        <v>1518</v>
      </c>
    </row>
    <row r="73" spans="3:24" x14ac:dyDescent="0.3">
      <c r="C73" s="136">
        <v>0.25</v>
      </c>
      <c r="D73" s="83" t="s">
        <v>1212</v>
      </c>
      <c r="I73" t="str">
        <f>I67</f>
        <v>PPO</v>
      </c>
      <c r="J73" s="98">
        <f>D30</f>
        <v>0.7</v>
      </c>
      <c r="K73" s="187" t="s">
        <v>1522</v>
      </c>
      <c r="L73" s="187"/>
      <c r="M73" s="187"/>
      <c r="N73" s="187"/>
      <c r="O73" s="187"/>
      <c r="P73" s="187"/>
      <c r="Q73" s="187"/>
      <c r="R73" s="187"/>
      <c r="S73" s="187"/>
    </row>
    <row r="74" spans="3:24" x14ac:dyDescent="0.3">
      <c r="I74" t="str">
        <f>I68</f>
        <v>HSA</v>
      </c>
      <c r="J74" s="98">
        <f>E30</f>
        <v>0.30000000000000004</v>
      </c>
    </row>
    <row r="76" spans="3:24" x14ac:dyDescent="0.3">
      <c r="I76" t="s">
        <v>1521</v>
      </c>
      <c r="J76" s="109">
        <f>SUMPRODUCT(J67:J68,J73:J74)</f>
        <v>687.48749999999995</v>
      </c>
      <c r="K76" s="187" t="s">
        <v>1520</v>
      </c>
      <c r="L76" s="187"/>
      <c r="M76" s="187"/>
      <c r="N76" s="187"/>
      <c r="O76" s="187"/>
      <c r="P76" s="187"/>
      <c r="Q76" s="187"/>
      <c r="R76" s="187"/>
      <c r="S76" s="187"/>
      <c r="T76" s="187"/>
      <c r="U76" s="187"/>
      <c r="V76" s="187"/>
    </row>
    <row r="80" spans="3:24" x14ac:dyDescent="0.3">
      <c r="I80" s="99" t="s">
        <v>1519</v>
      </c>
    </row>
    <row r="81" spans="2:31" x14ac:dyDescent="0.3">
      <c r="C81" s="109"/>
    </row>
    <row r="82" spans="2:31" ht="43.2" x14ac:dyDescent="0.3">
      <c r="I82" s="66" t="s">
        <v>284</v>
      </c>
      <c r="J82" s="66" t="s">
        <v>1518</v>
      </c>
      <c r="K82" s="66" t="s">
        <v>1517</v>
      </c>
      <c r="L82" s="66" t="s">
        <v>1516</v>
      </c>
      <c r="M82" s="66" t="s">
        <v>1515</v>
      </c>
      <c r="N82" s="66" t="s">
        <v>1306</v>
      </c>
      <c r="O82" s="66" t="s">
        <v>1514</v>
      </c>
    </row>
    <row r="83" spans="2:31" x14ac:dyDescent="0.3">
      <c r="I83" s="14" t="s">
        <v>213</v>
      </c>
      <c r="J83" s="2">
        <f>J73</f>
        <v>0.7</v>
      </c>
      <c r="K83" s="137">
        <f>J67</f>
        <v>708.75</v>
      </c>
      <c r="L83" s="137">
        <f>K83*$C$67</f>
        <v>637.875</v>
      </c>
      <c r="M83" s="326">
        <f>D38</f>
        <v>1.19</v>
      </c>
      <c r="N83" s="137">
        <f>L83*M83</f>
        <v>759.07124999999996</v>
      </c>
      <c r="O83" s="137">
        <f>N83/$C$67</f>
        <v>843.41249999999991</v>
      </c>
    </row>
    <row r="84" spans="2:31" x14ac:dyDescent="0.3">
      <c r="I84" s="23" t="s">
        <v>1234</v>
      </c>
      <c r="J84" s="19">
        <f>J74</f>
        <v>0.30000000000000004</v>
      </c>
      <c r="K84" s="232">
        <f>J68</f>
        <v>637.875</v>
      </c>
      <c r="L84" s="232">
        <f>K84*$C$67</f>
        <v>574.08749999999998</v>
      </c>
      <c r="M84" s="325">
        <f>E38</f>
        <v>0.55666666666666675</v>
      </c>
      <c r="N84" s="232">
        <f>L84*M84</f>
        <v>319.57537500000007</v>
      </c>
      <c r="O84" s="232">
        <f>N84/$C$67</f>
        <v>355.08375000000007</v>
      </c>
    </row>
    <row r="85" spans="2:31" x14ac:dyDescent="0.3">
      <c r="I85" s="14"/>
      <c r="J85" s="14"/>
      <c r="K85" s="137">
        <f>SUMPRODUCT(K83:K84,J83:J84)</f>
        <v>687.48749999999995</v>
      </c>
      <c r="L85" s="137">
        <f>SUMPRODUCT(L83:L84,J83:J84)</f>
        <v>618.73874999999998</v>
      </c>
      <c r="M85" s="324">
        <f>SUMPRODUCT(M83:M84,J83:J84)</f>
        <v>1</v>
      </c>
      <c r="N85" s="137">
        <f>SUMPRODUCT(N83:N84,J83:J84)</f>
        <v>627.22248750000006</v>
      </c>
      <c r="O85" s="137">
        <f>SUMPRODUCT(O83:O84,J83:J84)</f>
        <v>696.91387499999985</v>
      </c>
      <c r="P85" s="187" t="s">
        <v>1513</v>
      </c>
      <c r="Q85" s="187"/>
      <c r="R85" s="187"/>
      <c r="S85" s="187"/>
      <c r="T85" s="187"/>
      <c r="U85" s="187"/>
      <c r="V85" s="187"/>
      <c r="W85" s="187"/>
      <c r="X85" s="187"/>
      <c r="Y85" s="187"/>
      <c r="Z85" s="187"/>
      <c r="AA85" s="187"/>
      <c r="AB85" s="187"/>
      <c r="AC85" s="187"/>
      <c r="AD85" s="187"/>
      <c r="AE85" s="187"/>
    </row>
    <row r="88" spans="2:31" x14ac:dyDescent="0.3">
      <c r="L88" s="182" t="s">
        <v>1512</v>
      </c>
    </row>
    <row r="89" spans="2:31" x14ac:dyDescent="0.3">
      <c r="L89" s="109"/>
    </row>
    <row r="90" spans="2:31" x14ac:dyDescent="0.3">
      <c r="L90" s="109">
        <f>K83-K85</f>
        <v>21.262500000000045</v>
      </c>
      <c r="M90" s="187" t="s">
        <v>1511</v>
      </c>
      <c r="N90" s="187"/>
      <c r="O90" s="187"/>
      <c r="P90" s="187"/>
      <c r="Q90" s="187"/>
      <c r="R90" s="187"/>
      <c r="S90" s="187"/>
      <c r="T90" s="187"/>
      <c r="U90" s="187"/>
      <c r="V90" s="187"/>
      <c r="W90" s="187"/>
      <c r="X90" s="187"/>
      <c r="Y90" s="187"/>
      <c r="Z90" s="187"/>
      <c r="AA90" s="187"/>
      <c r="AB90" s="187"/>
      <c r="AC90" s="187"/>
      <c r="AD90" s="187"/>
      <c r="AE90" s="187"/>
    </row>
    <row r="92" spans="2:31" x14ac:dyDescent="0.3">
      <c r="L92" s="109">
        <f>O85-K85</f>
        <v>9.4263749999998936</v>
      </c>
      <c r="M92" s="187" t="s">
        <v>1510</v>
      </c>
      <c r="N92" s="187"/>
      <c r="O92" s="187"/>
      <c r="P92" s="187"/>
      <c r="Q92" s="187"/>
      <c r="R92" s="187"/>
      <c r="S92" s="187"/>
      <c r="T92" s="187"/>
      <c r="U92" s="187"/>
      <c r="V92" s="187"/>
      <c r="W92" s="187"/>
      <c r="X92" s="187"/>
    </row>
    <row r="93" spans="2:31" x14ac:dyDescent="0.3">
      <c r="M93" s="187" t="s">
        <v>1509</v>
      </c>
      <c r="N93" s="187"/>
      <c r="O93" s="187"/>
      <c r="P93" s="187"/>
      <c r="Q93" s="187"/>
      <c r="R93" s="187"/>
      <c r="S93" s="187"/>
    </row>
    <row r="95" spans="2:31" x14ac:dyDescent="0.3">
      <c r="L95" s="109">
        <f>L90-L92</f>
        <v>11.836125000000152</v>
      </c>
      <c r="M95" s="187" t="s">
        <v>1508</v>
      </c>
      <c r="N95" s="187"/>
      <c r="O95" s="187"/>
      <c r="P95" s="187"/>
      <c r="Q95" s="187"/>
      <c r="R95" s="187"/>
      <c r="S95" s="187"/>
      <c r="T95" s="187"/>
      <c r="U95" s="187"/>
      <c r="V95" s="187"/>
      <c r="W95" s="187"/>
      <c r="X95" s="187"/>
      <c r="Y95" s="187"/>
      <c r="Z95" s="187"/>
    </row>
    <row r="96" spans="2:31" x14ac:dyDescent="0.3">
      <c r="B96" s="109"/>
      <c r="C96" s="83"/>
    </row>
    <row r="97" spans="2:3" x14ac:dyDescent="0.3">
      <c r="B97" s="136"/>
      <c r="C97" s="83"/>
    </row>
    <row r="98" spans="2:3" x14ac:dyDescent="0.3">
      <c r="B98" s="136"/>
      <c r="C98" s="83"/>
    </row>
    <row r="99" spans="2:3" x14ac:dyDescent="0.3">
      <c r="B99" s="136"/>
      <c r="C99" s="83"/>
    </row>
    <row r="100" spans="2:3" x14ac:dyDescent="0.3">
      <c r="B100" s="136"/>
      <c r="C100" s="83"/>
    </row>
  </sheetData>
  <mergeCells count="8">
    <mergeCell ref="C65:G65"/>
    <mergeCell ref="I65:M65"/>
    <mergeCell ref="C10:F10"/>
    <mergeCell ref="C17:C18"/>
    <mergeCell ref="D17:D18"/>
    <mergeCell ref="C22:G22"/>
    <mergeCell ref="I22:M22"/>
    <mergeCell ref="C24:G25"/>
  </mergeCells>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7329C-1345-413B-9A04-A38FFA683434}">
  <sheetPr>
    <tabColor theme="5" tint="0.39997558519241921"/>
  </sheetPr>
  <dimension ref="A1:O57"/>
  <sheetViews>
    <sheetView workbookViewId="0">
      <selection activeCell="Q46" sqref="Q46"/>
    </sheetView>
  </sheetViews>
  <sheetFormatPr defaultRowHeight="14.4" x14ac:dyDescent="0.3"/>
  <cols>
    <col min="2" max="2" width="21.109375" customWidth="1"/>
    <col min="3" max="5" width="12.88671875" customWidth="1"/>
    <col min="9" max="9" width="27.33203125" bestFit="1" customWidth="1"/>
    <col min="10" max="12" width="14.44140625" customWidth="1"/>
    <col min="13" max="13" width="14.88671875" customWidth="1"/>
    <col min="14" max="14" width="12.88671875" bestFit="1" customWidth="1"/>
    <col min="15" max="15" width="14.33203125" customWidth="1"/>
    <col min="22" max="22" width="18.21875" customWidth="1"/>
  </cols>
  <sheetData>
    <row r="1" spans="1:13" ht="15" thickBot="1" x14ac:dyDescent="0.35">
      <c r="A1" t="s">
        <v>1251</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B10" s="375" t="s">
        <v>8</v>
      </c>
      <c r="C10" s="376"/>
      <c r="D10" s="376"/>
      <c r="E10" s="376"/>
      <c r="F10" s="376"/>
      <c r="G10" s="377"/>
    </row>
    <row r="15" spans="1:13" ht="15" thickBot="1" x14ac:dyDescent="0.35"/>
    <row r="16" spans="1:13" ht="15" thickBot="1" x14ac:dyDescent="0.35">
      <c r="B16" s="375" t="s">
        <v>4</v>
      </c>
      <c r="C16" s="376"/>
      <c r="D16" s="376"/>
      <c r="E16" s="376"/>
      <c r="F16" s="376"/>
      <c r="G16" s="377"/>
      <c r="I16" s="375" t="s">
        <v>3</v>
      </c>
      <c r="J16" s="376"/>
      <c r="K16" s="376"/>
      <c r="L16" s="376"/>
      <c r="M16" s="377"/>
    </row>
    <row r="18" spans="1:14" s="26" customFormat="1" x14ac:dyDescent="0.3">
      <c r="A18" s="26" t="s">
        <v>27</v>
      </c>
    </row>
    <row r="20" spans="1:14" ht="28.8" x14ac:dyDescent="0.3">
      <c r="B20" t="s">
        <v>1116</v>
      </c>
      <c r="C20" s="281" t="s">
        <v>1250</v>
      </c>
      <c r="D20" s="281" t="s">
        <v>1249</v>
      </c>
      <c r="E20" s="281" t="s">
        <v>1248</v>
      </c>
    </row>
    <row r="21" spans="1:14" x14ac:dyDescent="0.3">
      <c r="B21" t="s">
        <v>1018</v>
      </c>
      <c r="C21" s="90">
        <v>5201</v>
      </c>
      <c r="D21" s="90">
        <v>5400</v>
      </c>
      <c r="E21" s="90">
        <v>5320</v>
      </c>
    </row>
    <row r="22" spans="1:14" x14ac:dyDescent="0.3">
      <c r="B22" t="s">
        <v>1111</v>
      </c>
      <c r="C22" s="4">
        <v>300</v>
      </c>
      <c r="D22" s="4">
        <v>315</v>
      </c>
      <c r="E22" s="4">
        <v>340</v>
      </c>
    </row>
    <row r="23" spans="1:14" x14ac:dyDescent="0.3">
      <c r="B23" t="s">
        <v>1109</v>
      </c>
      <c r="C23" s="4">
        <v>15152</v>
      </c>
      <c r="D23" s="4">
        <v>15914</v>
      </c>
      <c r="E23" s="4">
        <v>18817</v>
      </c>
    </row>
    <row r="24" spans="1:14" x14ac:dyDescent="0.3">
      <c r="B24" t="s">
        <v>1108</v>
      </c>
      <c r="C24" s="4">
        <v>165</v>
      </c>
      <c r="D24" s="4">
        <v>816</v>
      </c>
      <c r="E24" s="4">
        <v>1711</v>
      </c>
    </row>
    <row r="25" spans="1:14" x14ac:dyDescent="0.3">
      <c r="B25" t="s">
        <v>1107</v>
      </c>
      <c r="C25" s="4">
        <v>1311</v>
      </c>
      <c r="D25" s="4">
        <v>1411</v>
      </c>
      <c r="E25" s="4">
        <v>1555</v>
      </c>
      <c r="L25" s="4"/>
      <c r="M25" s="4"/>
      <c r="N25" s="4"/>
    </row>
    <row r="26" spans="1:14" x14ac:dyDescent="0.3">
      <c r="B26" t="s">
        <v>1106</v>
      </c>
      <c r="C26" s="4">
        <v>564</v>
      </c>
      <c r="D26" s="4">
        <v>680</v>
      </c>
      <c r="E26" s="4">
        <v>962</v>
      </c>
      <c r="L26" s="90"/>
      <c r="M26" s="90"/>
      <c r="N26" s="90"/>
    </row>
    <row r="27" spans="1:14" x14ac:dyDescent="0.3">
      <c r="B27" t="s">
        <v>1013</v>
      </c>
      <c r="C27">
        <f>1/14</f>
        <v>7.1428571428571425E-2</v>
      </c>
      <c r="D27">
        <f>2/7</f>
        <v>0.2857142857142857</v>
      </c>
      <c r="E27">
        <f>9/14</f>
        <v>0.6428571428571429</v>
      </c>
      <c r="L27" s="4"/>
      <c r="M27" s="4"/>
      <c r="N27" s="4"/>
    </row>
    <row r="28" spans="1:14" x14ac:dyDescent="0.3">
      <c r="L28" s="4"/>
      <c r="M28" s="4"/>
      <c r="N28" s="4"/>
    </row>
    <row r="29" spans="1:14" x14ac:dyDescent="0.3">
      <c r="L29" s="4"/>
      <c r="M29" s="4"/>
      <c r="N29" s="4"/>
    </row>
    <row r="30" spans="1:14" x14ac:dyDescent="0.3">
      <c r="B30" t="s">
        <v>1105</v>
      </c>
      <c r="L30" s="4"/>
      <c r="M30" s="4"/>
      <c r="N30" s="4"/>
    </row>
    <row r="31" spans="1:14" x14ac:dyDescent="0.3">
      <c r="B31" t="s">
        <v>1012</v>
      </c>
      <c r="C31">
        <v>0.05</v>
      </c>
    </row>
    <row r="32" spans="1:14" x14ac:dyDescent="0.3">
      <c r="B32" t="s">
        <v>1010</v>
      </c>
      <c r="C32">
        <v>0.04</v>
      </c>
      <c r="L32" s="4"/>
      <c r="M32" s="4"/>
      <c r="N32" s="4"/>
    </row>
    <row r="33" spans="2:12" x14ac:dyDescent="0.3">
      <c r="B33" t="s">
        <v>1008</v>
      </c>
      <c r="C33">
        <v>0.02</v>
      </c>
    </row>
    <row r="34" spans="2:12" x14ac:dyDescent="0.3">
      <c r="B34" t="s">
        <v>1006</v>
      </c>
      <c r="C34">
        <v>0.03</v>
      </c>
    </row>
    <row r="35" spans="2:12" x14ac:dyDescent="0.3">
      <c r="L35" s="136"/>
    </row>
    <row r="36" spans="2:12" x14ac:dyDescent="0.3">
      <c r="L36" s="136"/>
    </row>
    <row r="37" spans="2:12" ht="30.6" customHeight="1" x14ac:dyDescent="0.3">
      <c r="L37" s="136"/>
    </row>
    <row r="38" spans="2:12" x14ac:dyDescent="0.3">
      <c r="L38" s="136"/>
    </row>
    <row r="39" spans="2:12" x14ac:dyDescent="0.3">
      <c r="B39" t="s">
        <v>1004</v>
      </c>
      <c r="C39" s="136">
        <v>0.05</v>
      </c>
    </row>
    <row r="40" spans="2:12" x14ac:dyDescent="0.3">
      <c r="B40" t="s">
        <v>1002</v>
      </c>
      <c r="C40" s="136">
        <v>0</v>
      </c>
      <c r="L40" s="136"/>
    </row>
    <row r="41" spans="2:12" x14ac:dyDescent="0.3">
      <c r="B41" t="s">
        <v>1247</v>
      </c>
      <c r="C41" s="4">
        <v>375</v>
      </c>
    </row>
    <row r="42" spans="2:12" x14ac:dyDescent="0.3">
      <c r="B42" t="s">
        <v>1246</v>
      </c>
      <c r="C42" s="56">
        <v>30</v>
      </c>
      <c r="L42" s="4"/>
    </row>
    <row r="43" spans="2:12" x14ac:dyDescent="0.3">
      <c r="B43" t="s">
        <v>1103</v>
      </c>
      <c r="C43" s="56">
        <v>32</v>
      </c>
      <c r="L43" s="56"/>
    </row>
    <row r="44" spans="2:12" x14ac:dyDescent="0.3">
      <c r="B44" t="s">
        <v>1245</v>
      </c>
      <c r="C44" s="90">
        <v>5400</v>
      </c>
      <c r="L44" s="56"/>
    </row>
    <row r="45" spans="2:12" x14ac:dyDescent="0.3">
      <c r="L45" s="90"/>
    </row>
    <row r="51" spans="1:15" x14ac:dyDescent="0.3">
      <c r="A51" s="26" t="s">
        <v>18</v>
      </c>
      <c r="B51" s="26"/>
      <c r="C51" s="26"/>
      <c r="D51" s="26"/>
      <c r="E51" s="26"/>
      <c r="F51" s="26"/>
      <c r="G51" s="26"/>
      <c r="H51" s="26"/>
      <c r="I51" s="26"/>
      <c r="J51" s="26"/>
      <c r="K51" s="26"/>
      <c r="L51" s="26"/>
      <c r="M51" s="26"/>
      <c r="N51" s="26"/>
      <c r="O51" s="26"/>
    </row>
    <row r="57" spans="1:15" ht="29.7" customHeight="1" x14ac:dyDescent="0.3"/>
  </sheetData>
  <mergeCells count="3">
    <mergeCell ref="B10:G10"/>
    <mergeCell ref="B16:G16"/>
    <mergeCell ref="I16:M16"/>
  </mergeCells>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D023D-AB31-4F4E-956B-B85701AED32F}">
  <sheetPr>
    <tabColor theme="9" tint="0.59999389629810485"/>
  </sheetPr>
  <dimension ref="A1:Y100"/>
  <sheetViews>
    <sheetView workbookViewId="0">
      <selection activeCell="I63" sqref="I63"/>
    </sheetView>
  </sheetViews>
  <sheetFormatPr defaultRowHeight="14.4" x14ac:dyDescent="0.3"/>
  <cols>
    <col min="2" max="2" width="21.109375" customWidth="1"/>
    <col min="3" max="5" width="12.88671875" customWidth="1"/>
    <col min="9" max="9" width="27.33203125" bestFit="1" customWidth="1"/>
    <col min="10" max="12" width="14.44140625" customWidth="1"/>
    <col min="13" max="13" width="14.88671875" customWidth="1"/>
    <col min="14" max="14" width="12.88671875" bestFit="1" customWidth="1"/>
    <col min="15" max="15" width="14.33203125" customWidth="1"/>
    <col min="22" max="22" width="18.21875" customWidth="1"/>
  </cols>
  <sheetData>
    <row r="1" spans="1:13" ht="15" thickBot="1" x14ac:dyDescent="0.35">
      <c r="A1" t="s">
        <v>1251</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B10" s="375" t="s">
        <v>8</v>
      </c>
      <c r="C10" s="376"/>
      <c r="D10" s="376"/>
      <c r="E10" s="376"/>
      <c r="F10" s="376"/>
      <c r="G10" s="377"/>
    </row>
    <row r="15" spans="1:13" ht="15" thickBot="1" x14ac:dyDescent="0.35"/>
    <row r="16" spans="1:13" ht="15" thickBot="1" x14ac:dyDescent="0.35">
      <c r="B16" s="375" t="s">
        <v>4</v>
      </c>
      <c r="C16" s="376"/>
      <c r="D16" s="376"/>
      <c r="E16" s="376"/>
      <c r="F16" s="376"/>
      <c r="G16" s="377"/>
      <c r="I16" s="375" t="s">
        <v>3</v>
      </c>
      <c r="J16" s="376"/>
      <c r="K16" s="376"/>
      <c r="L16" s="376"/>
      <c r="M16" s="377"/>
    </row>
    <row r="18" spans="1:25" s="26" customFormat="1" x14ac:dyDescent="0.3">
      <c r="A18" s="26" t="s">
        <v>27</v>
      </c>
    </row>
    <row r="19" spans="1:25" x14ac:dyDescent="0.3">
      <c r="M19" s="14"/>
    </row>
    <row r="20" spans="1:25" ht="28.8" x14ac:dyDescent="0.3">
      <c r="B20" t="s">
        <v>1116</v>
      </c>
      <c r="C20" s="281" t="s">
        <v>1250</v>
      </c>
      <c r="D20" s="281" t="s">
        <v>1249</v>
      </c>
      <c r="E20" s="281" t="s">
        <v>1248</v>
      </c>
      <c r="I20" s="255"/>
      <c r="J20" s="332" t="s">
        <v>1250</v>
      </c>
      <c r="K20" s="332" t="s">
        <v>1249</v>
      </c>
      <c r="L20" s="332" t="s">
        <v>1248</v>
      </c>
      <c r="M20" s="59" t="s">
        <v>247</v>
      </c>
    </row>
    <row r="21" spans="1:25" x14ac:dyDescent="0.3">
      <c r="B21" t="s">
        <v>1018</v>
      </c>
      <c r="C21" s="90">
        <v>5201</v>
      </c>
      <c r="D21" s="90">
        <v>5400</v>
      </c>
      <c r="E21" s="90">
        <v>5320</v>
      </c>
      <c r="I21" t="s">
        <v>1405</v>
      </c>
      <c r="J21" s="90">
        <f>C22*C21*12/1000</f>
        <v>18723.599999999999</v>
      </c>
      <c r="K21" s="90">
        <f>D22*D21*12/1000</f>
        <v>20412</v>
      </c>
      <c r="L21" s="90">
        <f>E22*E21*12/1000</f>
        <v>21705.599999999999</v>
      </c>
      <c r="M21" s="90">
        <f t="shared" ref="M21:M30" si="0">SUM(J21:L21)</f>
        <v>60841.2</v>
      </c>
    </row>
    <row r="22" spans="1:25" x14ac:dyDescent="0.3">
      <c r="B22" t="s">
        <v>1111</v>
      </c>
      <c r="C22" s="4">
        <v>300</v>
      </c>
      <c r="D22" s="4">
        <v>315</v>
      </c>
      <c r="E22" s="4">
        <v>340</v>
      </c>
      <c r="I22" t="s">
        <v>1404</v>
      </c>
      <c r="J22" s="151">
        <f>C25</f>
        <v>1311</v>
      </c>
      <c r="K22" s="151">
        <f>D25</f>
        <v>1411</v>
      </c>
      <c r="L22" s="151">
        <f>E25</f>
        <v>1555</v>
      </c>
      <c r="M22" s="90">
        <f t="shared" si="0"/>
        <v>4277</v>
      </c>
    </row>
    <row r="23" spans="1:25" x14ac:dyDescent="0.3">
      <c r="B23" t="s">
        <v>1109</v>
      </c>
      <c r="C23" s="4">
        <v>15152</v>
      </c>
      <c r="D23" s="4">
        <v>15914</v>
      </c>
      <c r="E23" s="4">
        <v>18817</v>
      </c>
      <c r="I23" t="s">
        <v>1403</v>
      </c>
      <c r="J23" s="90">
        <f>J21-J22</f>
        <v>17412.599999999999</v>
      </c>
      <c r="K23" s="90">
        <f>K21-K22</f>
        <v>19001</v>
      </c>
      <c r="L23" s="90">
        <f>L21-L22</f>
        <v>20150.599999999999</v>
      </c>
      <c r="M23" s="90">
        <f t="shared" si="0"/>
        <v>56564.2</v>
      </c>
    </row>
    <row r="24" spans="1:25" x14ac:dyDescent="0.3">
      <c r="B24" t="s">
        <v>1108</v>
      </c>
      <c r="C24" s="4">
        <v>165</v>
      </c>
      <c r="D24" s="4">
        <v>816</v>
      </c>
      <c r="E24" s="4">
        <v>1711</v>
      </c>
      <c r="I24" t="s">
        <v>1402</v>
      </c>
      <c r="J24" s="90">
        <f>C23</f>
        <v>15152</v>
      </c>
      <c r="K24" s="90">
        <f>D23</f>
        <v>15914</v>
      </c>
      <c r="L24" s="90">
        <f>E23</f>
        <v>18817</v>
      </c>
      <c r="M24" s="90">
        <f t="shared" si="0"/>
        <v>49883</v>
      </c>
    </row>
    <row r="25" spans="1:25" x14ac:dyDescent="0.3">
      <c r="B25" t="s">
        <v>1107</v>
      </c>
      <c r="C25" s="4">
        <v>1311</v>
      </c>
      <c r="D25" s="4">
        <v>1411</v>
      </c>
      <c r="E25" s="4">
        <v>1555</v>
      </c>
      <c r="I25" t="s">
        <v>1401</v>
      </c>
      <c r="J25" s="151">
        <f>C26</f>
        <v>564</v>
      </c>
      <c r="K25" s="151">
        <f>D26</f>
        <v>680</v>
      </c>
      <c r="L25" s="151">
        <f>E26</f>
        <v>962</v>
      </c>
      <c r="M25" s="90">
        <f t="shared" si="0"/>
        <v>2206</v>
      </c>
      <c r="W25" s="4"/>
      <c r="X25" s="4"/>
      <c r="Y25" s="4"/>
    </row>
    <row r="26" spans="1:25" x14ac:dyDescent="0.3">
      <c r="B26" t="s">
        <v>1106</v>
      </c>
      <c r="C26" s="4">
        <v>564</v>
      </c>
      <c r="D26" s="4">
        <v>680</v>
      </c>
      <c r="E26" s="4">
        <v>962</v>
      </c>
      <c r="I26" t="s">
        <v>1400</v>
      </c>
      <c r="J26" s="90">
        <f>J24-J25</f>
        <v>14588</v>
      </c>
      <c r="K26" s="90">
        <f>K24-K25</f>
        <v>15234</v>
      </c>
      <c r="L26" s="90">
        <f>L24-L25</f>
        <v>17855</v>
      </c>
      <c r="M26" s="90">
        <f t="shared" si="0"/>
        <v>47677</v>
      </c>
      <c r="W26" s="90"/>
      <c r="X26" s="90"/>
      <c r="Y26" s="90"/>
    </row>
    <row r="27" spans="1:25" x14ac:dyDescent="0.3">
      <c r="B27" t="s">
        <v>1013</v>
      </c>
      <c r="C27">
        <f>1/14</f>
        <v>7.1428571428571425E-2</v>
      </c>
      <c r="D27">
        <f>2/7</f>
        <v>0.2857142857142857</v>
      </c>
      <c r="E27">
        <f>9/14</f>
        <v>0.6428571428571429</v>
      </c>
      <c r="I27" t="s">
        <v>1399</v>
      </c>
      <c r="J27" s="151">
        <f>(C24)-0</f>
        <v>165</v>
      </c>
      <c r="K27" s="151">
        <f>(D24)-(C24)</f>
        <v>651</v>
      </c>
      <c r="L27" s="151">
        <f>(E24)-(D24)</f>
        <v>895</v>
      </c>
      <c r="M27" s="90">
        <f t="shared" si="0"/>
        <v>1711</v>
      </c>
      <c r="W27" s="4"/>
      <c r="X27" s="4"/>
      <c r="Y27" s="4"/>
    </row>
    <row r="28" spans="1:25" x14ac:dyDescent="0.3">
      <c r="I28" t="s">
        <v>1398</v>
      </c>
      <c r="J28" s="90">
        <f>J26+J27</f>
        <v>14753</v>
      </c>
      <c r="K28" s="90">
        <f>K26+K27</f>
        <v>15885</v>
      </c>
      <c r="L28" s="90">
        <f>L26+L27</f>
        <v>18750</v>
      </c>
      <c r="M28" s="90">
        <f t="shared" si="0"/>
        <v>49388</v>
      </c>
      <c r="W28" s="4"/>
      <c r="X28" s="4"/>
      <c r="Y28" s="4"/>
    </row>
    <row r="29" spans="1:25" x14ac:dyDescent="0.3">
      <c r="I29" t="s">
        <v>1397</v>
      </c>
      <c r="J29" s="90">
        <f>J21*SUM($C$31:$C$34)</f>
        <v>2621.3040000000001</v>
      </c>
      <c r="K29" s="90">
        <f>K21*SUM($C$31:$C$34)</f>
        <v>2857.6800000000003</v>
      </c>
      <c r="L29" s="90">
        <f>L21*SUM($C$31:$C$34)</f>
        <v>3038.7840000000001</v>
      </c>
      <c r="M29" s="90">
        <f t="shared" si="0"/>
        <v>8517.768</v>
      </c>
      <c r="W29" s="4"/>
      <c r="X29" s="4"/>
      <c r="Y29" s="4"/>
    </row>
    <row r="30" spans="1:25" x14ac:dyDescent="0.3">
      <c r="B30" t="s">
        <v>1105</v>
      </c>
      <c r="I30" t="s">
        <v>1396</v>
      </c>
      <c r="J30" s="90">
        <f>J23-J28-J29</f>
        <v>38.295999999998457</v>
      </c>
      <c r="K30" s="90">
        <f>K23-K28-K29</f>
        <v>258.31999999999971</v>
      </c>
      <c r="L30" s="90">
        <f>L23-L28-L29</f>
        <v>-1638.1840000000016</v>
      </c>
      <c r="M30" s="288">
        <f t="shared" si="0"/>
        <v>-1341.5680000000034</v>
      </c>
      <c r="W30" s="4"/>
      <c r="X30" s="4"/>
      <c r="Y30" s="4"/>
    </row>
    <row r="31" spans="1:25" x14ac:dyDescent="0.3">
      <c r="B31" t="s">
        <v>1012</v>
      </c>
      <c r="C31">
        <v>0.05</v>
      </c>
    </row>
    <row r="32" spans="1:25" x14ac:dyDescent="0.3">
      <c r="B32" t="s">
        <v>1010</v>
      </c>
      <c r="C32">
        <v>0.04</v>
      </c>
      <c r="W32" s="4"/>
      <c r="X32" s="4"/>
      <c r="Y32" s="4"/>
    </row>
    <row r="33" spans="2:23" x14ac:dyDescent="0.3">
      <c r="B33" t="s">
        <v>1008</v>
      </c>
      <c r="C33">
        <v>0.02</v>
      </c>
    </row>
    <row r="34" spans="2:23" x14ac:dyDescent="0.3">
      <c r="B34" t="s">
        <v>1006</v>
      </c>
      <c r="C34">
        <v>0.03</v>
      </c>
    </row>
    <row r="35" spans="2:23" x14ac:dyDescent="0.3">
      <c r="W35" s="136"/>
    </row>
    <row r="36" spans="2:23" x14ac:dyDescent="0.3">
      <c r="I36" s="411" t="s">
        <v>1542</v>
      </c>
      <c r="J36" s="412"/>
      <c r="K36" s="412"/>
      <c r="L36" s="412"/>
      <c r="M36" s="413"/>
      <c r="W36" s="136"/>
    </row>
    <row r="37" spans="2:23" ht="30.6" customHeight="1" x14ac:dyDescent="0.3">
      <c r="I37" s="255"/>
      <c r="J37" s="331" t="str">
        <f>J20</f>
        <v>July 1, 20X0 – June 30, 20X1</v>
      </c>
      <c r="K37" s="331" t="str">
        <f>K20</f>
        <v>July 1, 20X1 – June 30, 20X2</v>
      </c>
      <c r="L37" s="331" t="str">
        <f>L20</f>
        <v>July 1, 20X2 – June 30, 20X3</v>
      </c>
      <c r="M37" s="215" t="s">
        <v>247</v>
      </c>
      <c r="W37" s="136"/>
    </row>
    <row r="38" spans="2:23" x14ac:dyDescent="0.3">
      <c r="I38" s="54" t="s">
        <v>1541</v>
      </c>
      <c r="J38" s="319">
        <f>J30</f>
        <v>38.295999999998457</v>
      </c>
      <c r="K38" s="319">
        <f>K30</f>
        <v>258.31999999999971</v>
      </c>
      <c r="L38" s="319">
        <f>L30</f>
        <v>-1638.1840000000016</v>
      </c>
      <c r="M38" s="318">
        <f>SUM(J38:L38)</f>
        <v>-1341.5680000000034</v>
      </c>
      <c r="W38" s="136"/>
    </row>
    <row r="39" spans="2:23" x14ac:dyDescent="0.3">
      <c r="B39" t="s">
        <v>1004</v>
      </c>
      <c r="C39" s="136">
        <v>0.05</v>
      </c>
      <c r="I39" s="317" t="s">
        <v>1479</v>
      </c>
      <c r="J39" s="305">
        <f>J38</f>
        <v>38.295999999998457</v>
      </c>
      <c r="K39" s="305">
        <f>K38</f>
        <v>258.31999999999971</v>
      </c>
      <c r="L39" s="305">
        <f>L38</f>
        <v>-1638.1840000000016</v>
      </c>
      <c r="M39" s="5">
        <f>SUM(J39:L39)</f>
        <v>-1341.5680000000034</v>
      </c>
      <c r="N39" s="9" t="s">
        <v>1540</v>
      </c>
      <c r="O39" s="9"/>
      <c r="P39" s="9"/>
      <c r="Q39" s="9"/>
      <c r="R39" s="9"/>
    </row>
    <row r="40" spans="2:23" x14ac:dyDescent="0.3">
      <c r="B40" t="s">
        <v>1002</v>
      </c>
      <c r="C40" s="136">
        <v>0</v>
      </c>
      <c r="I40" s="316" t="s">
        <v>1477</v>
      </c>
      <c r="J40" s="315">
        <f>J38</f>
        <v>38.295999999998457</v>
      </c>
      <c r="K40" s="315">
        <f>K38</f>
        <v>258.31999999999971</v>
      </c>
      <c r="L40" s="315">
        <f>L38</f>
        <v>-1638.1840000000016</v>
      </c>
      <c r="M40" s="314">
        <f>SUM(J40:L40)</f>
        <v>-1341.5680000000034</v>
      </c>
      <c r="W40" s="136"/>
    </row>
    <row r="41" spans="2:23" x14ac:dyDescent="0.3">
      <c r="B41" t="s">
        <v>1247</v>
      </c>
      <c r="C41" s="4">
        <v>375</v>
      </c>
    </row>
    <row r="42" spans="2:23" x14ac:dyDescent="0.3">
      <c r="B42" t="s">
        <v>1246</v>
      </c>
      <c r="C42" s="56">
        <v>30</v>
      </c>
      <c r="W42" s="4"/>
    </row>
    <row r="43" spans="2:23" x14ac:dyDescent="0.3">
      <c r="B43" t="s">
        <v>1103</v>
      </c>
      <c r="C43" s="56">
        <v>32</v>
      </c>
      <c r="J43" s="168" t="s">
        <v>1539</v>
      </c>
      <c r="K43" s="167"/>
      <c r="L43" s="166"/>
      <c r="M43" s="313"/>
      <c r="W43" s="56"/>
    </row>
    <row r="44" spans="2:23" x14ac:dyDescent="0.3">
      <c r="B44" t="s">
        <v>1245</v>
      </c>
      <c r="C44" s="90">
        <v>5400</v>
      </c>
      <c r="J44" s="243" t="s">
        <v>1475</v>
      </c>
      <c r="K44" s="242"/>
      <c r="L44" s="242"/>
      <c r="M44" s="312">
        <f>M40</f>
        <v>-1341.5680000000034</v>
      </c>
      <c r="W44" s="56"/>
    </row>
    <row r="45" spans="2:23" x14ac:dyDescent="0.3">
      <c r="J45" s="54" t="s">
        <v>1474</v>
      </c>
      <c r="M45" s="311">
        <f>M22-M25</f>
        <v>2071</v>
      </c>
      <c r="W45" s="90"/>
    </row>
    <row r="46" spans="2:23" x14ac:dyDescent="0.3">
      <c r="J46" s="54" t="s">
        <v>1473</v>
      </c>
      <c r="M46" s="311">
        <f>C34*M21</f>
        <v>1825.2359999999999</v>
      </c>
    </row>
    <row r="47" spans="2:23" x14ac:dyDescent="0.3">
      <c r="J47" s="219" t="s">
        <v>1472</v>
      </c>
      <c r="K47" s="309"/>
      <c r="L47" s="309"/>
      <c r="M47" s="5">
        <f>SUM(M44:M46)</f>
        <v>2554.6679999999965</v>
      </c>
      <c r="N47" s="9" t="s">
        <v>1538</v>
      </c>
      <c r="O47" s="9"/>
      <c r="P47" s="9"/>
      <c r="Q47" s="9"/>
      <c r="R47" s="9"/>
    </row>
    <row r="48" spans="2:23" x14ac:dyDescent="0.3">
      <c r="J48" s="91" t="s">
        <v>1471</v>
      </c>
      <c r="K48" s="26"/>
      <c r="L48" s="26"/>
      <c r="M48" s="310">
        <f>M47/M21</f>
        <v>4.198911264077626E-2</v>
      </c>
    </row>
    <row r="51" spans="1:15" x14ac:dyDescent="0.3">
      <c r="A51" s="26" t="s">
        <v>18</v>
      </c>
      <c r="B51" s="26"/>
      <c r="C51" s="26"/>
      <c r="D51" s="26"/>
      <c r="E51" s="26"/>
      <c r="F51" s="26"/>
      <c r="G51" s="26"/>
      <c r="H51" s="26"/>
      <c r="I51" s="26"/>
      <c r="J51" s="26"/>
      <c r="K51" s="26"/>
      <c r="L51" s="26"/>
      <c r="M51" s="26"/>
      <c r="N51" s="26"/>
      <c r="O51" s="26"/>
    </row>
    <row r="53" spans="1:15" x14ac:dyDescent="0.3">
      <c r="I53" s="182" t="s">
        <v>1470</v>
      </c>
    </row>
    <row r="54" spans="1:15" x14ac:dyDescent="0.3">
      <c r="K54" s="56"/>
      <c r="L54" s="56"/>
      <c r="M54" s="56"/>
    </row>
    <row r="55" spans="1:15" x14ac:dyDescent="0.3">
      <c r="K55" s="56"/>
      <c r="L55" s="56"/>
      <c r="M55" s="56"/>
    </row>
    <row r="56" spans="1:15" x14ac:dyDescent="0.3">
      <c r="I56" s="135"/>
    </row>
    <row r="57" spans="1:15" ht="29.7" customHeight="1" x14ac:dyDescent="0.3">
      <c r="I57" s="206"/>
      <c r="J57" s="206"/>
      <c r="K57" s="330" t="str">
        <f>J20</f>
        <v>July 1, 20X0 – June 30, 20X1</v>
      </c>
      <c r="L57" s="330" t="str">
        <f>K20</f>
        <v>July 1, 20X1 – June 30, 20X2</v>
      </c>
      <c r="M57" s="330" t="str">
        <f>L20</f>
        <v>July 1, 20X2 – June 30, 20X3</v>
      </c>
      <c r="N57" s="206" t="s">
        <v>247</v>
      </c>
      <c r="O57" s="206" t="s">
        <v>1389</v>
      </c>
    </row>
    <row r="58" spans="1:15" x14ac:dyDescent="0.3">
      <c r="I58" s="52" t="s">
        <v>74</v>
      </c>
      <c r="J58" s="44" t="s">
        <v>275</v>
      </c>
      <c r="K58" s="308">
        <f>C21</f>
        <v>5201</v>
      </c>
      <c r="L58" s="308">
        <f>D21</f>
        <v>5400</v>
      </c>
      <c r="M58" s="308">
        <f>E21</f>
        <v>5320</v>
      </c>
      <c r="N58" s="308">
        <f t="shared" ref="N58:N63" si="1">SUM(K58:M58)</f>
        <v>15921</v>
      </c>
      <c r="O58" s="44" t="s">
        <v>634</v>
      </c>
    </row>
    <row r="59" spans="1:15" x14ac:dyDescent="0.3">
      <c r="I59" s="64" t="s">
        <v>73</v>
      </c>
      <c r="J59" s="34" t="s">
        <v>1388</v>
      </c>
      <c r="K59" s="305">
        <f t="shared" ref="K59:M60" si="2">J21</f>
        <v>18723.599999999999</v>
      </c>
      <c r="L59" s="305">
        <f t="shared" si="2"/>
        <v>20412</v>
      </c>
      <c r="M59" s="305">
        <f t="shared" si="2"/>
        <v>21705.599999999999</v>
      </c>
      <c r="N59" s="305">
        <f t="shared" si="1"/>
        <v>60841.2</v>
      </c>
      <c r="O59" s="34" t="s">
        <v>1469</v>
      </c>
    </row>
    <row r="60" spans="1:15" x14ac:dyDescent="0.3">
      <c r="I60" s="64" t="s">
        <v>72</v>
      </c>
      <c r="J60" s="34" t="s">
        <v>1387</v>
      </c>
      <c r="K60" s="307">
        <f t="shared" si="2"/>
        <v>1311</v>
      </c>
      <c r="L60" s="307">
        <f t="shared" si="2"/>
        <v>1411</v>
      </c>
      <c r="M60" s="307">
        <f t="shared" si="2"/>
        <v>1555</v>
      </c>
      <c r="N60" s="305">
        <f t="shared" si="1"/>
        <v>4277</v>
      </c>
      <c r="O60" s="34" t="s">
        <v>1469</v>
      </c>
    </row>
    <row r="61" spans="1:15" x14ac:dyDescent="0.3">
      <c r="I61" s="64" t="s">
        <v>71</v>
      </c>
      <c r="J61" s="34" t="s">
        <v>1386</v>
      </c>
      <c r="K61" s="299">
        <f>C22</f>
        <v>300</v>
      </c>
      <c r="L61" s="299">
        <f>D22</f>
        <v>315</v>
      </c>
      <c r="M61" s="299">
        <f>E22</f>
        <v>340</v>
      </c>
      <c r="N61" s="305">
        <f t="shared" si="1"/>
        <v>955</v>
      </c>
      <c r="O61" s="34" t="s">
        <v>634</v>
      </c>
    </row>
    <row r="62" spans="1:15" x14ac:dyDescent="0.3">
      <c r="I62" s="64" t="s">
        <v>70</v>
      </c>
      <c r="J62" s="34" t="s">
        <v>1385</v>
      </c>
      <c r="K62" s="299">
        <f>(1000*K60)/(12*K58)</f>
        <v>21.005575850797925</v>
      </c>
      <c r="L62" s="299">
        <f>(1000*L60)/(12*L58)</f>
        <v>21.77469135802469</v>
      </c>
      <c r="M62" s="299">
        <f>(1000*M60)/(12*M58)</f>
        <v>24.357769423558896</v>
      </c>
      <c r="N62" s="305">
        <f t="shared" si="1"/>
        <v>67.138036632381514</v>
      </c>
      <c r="O62" s="34" t="s">
        <v>1468</v>
      </c>
    </row>
    <row r="63" spans="1:15" x14ac:dyDescent="0.3">
      <c r="I63" s="64" t="s">
        <v>69</v>
      </c>
      <c r="J63" s="34" t="s">
        <v>1383</v>
      </c>
      <c r="K63" s="299">
        <f>K61-K62</f>
        <v>278.99442414920208</v>
      </c>
      <c r="L63" s="299">
        <f>L61-L62</f>
        <v>293.22530864197529</v>
      </c>
      <c r="M63" s="299">
        <f>M61-M62</f>
        <v>315.64223057644108</v>
      </c>
      <c r="N63" s="305">
        <f t="shared" si="1"/>
        <v>887.8619633676185</v>
      </c>
      <c r="O63" s="303" t="s">
        <v>1382</v>
      </c>
    </row>
    <row r="64" spans="1:15" x14ac:dyDescent="0.3">
      <c r="I64" s="64" t="s">
        <v>1381</v>
      </c>
      <c r="J64" s="34" t="s">
        <v>1380</v>
      </c>
      <c r="K64" s="306">
        <f>($C$41-$C$42)/K63</f>
        <v>1.2365838530719135</v>
      </c>
      <c r="L64" s="306">
        <f>($C$41-$C$42)/L63</f>
        <v>1.1765696542287249</v>
      </c>
      <c r="M64" s="306">
        <f>($C$41-$C$42)/M63</f>
        <v>1.093009637430151</v>
      </c>
      <c r="N64" s="305"/>
      <c r="O64" s="303" t="s">
        <v>1537</v>
      </c>
    </row>
    <row r="65" spans="9:22" x14ac:dyDescent="0.3">
      <c r="I65" s="64" t="s">
        <v>1378</v>
      </c>
      <c r="J65" s="34" t="s">
        <v>1377</v>
      </c>
      <c r="K65" s="305">
        <f>(K59-K60)*K64</f>
        <v>21532.14</v>
      </c>
      <c r="L65" s="305">
        <f>(L59-L60)*L64</f>
        <v>22356.000000000004</v>
      </c>
      <c r="M65" s="305">
        <f>(M59-M60)*M64</f>
        <v>22024.799999999999</v>
      </c>
      <c r="N65" s="305">
        <f>SUM(K65:M65)</f>
        <v>65912.94</v>
      </c>
      <c r="O65" s="303" t="s">
        <v>1376</v>
      </c>
    </row>
    <row r="66" spans="9:22" x14ac:dyDescent="0.3">
      <c r="I66" s="64" t="s">
        <v>1375</v>
      </c>
      <c r="J66" s="34" t="s">
        <v>273</v>
      </c>
      <c r="K66" s="305">
        <f>J28</f>
        <v>14753</v>
      </c>
      <c r="L66" s="305">
        <f>K28</f>
        <v>15885</v>
      </c>
      <c r="M66" s="305">
        <f>L28</f>
        <v>18750</v>
      </c>
      <c r="N66" s="305">
        <f>SUM(K66:M66)</f>
        <v>49388</v>
      </c>
      <c r="O66" s="34" t="s">
        <v>1374</v>
      </c>
    </row>
    <row r="67" spans="9:22" x14ac:dyDescent="0.3">
      <c r="I67" s="64" t="s">
        <v>1373</v>
      </c>
      <c r="J67" s="34" t="s">
        <v>1372</v>
      </c>
      <c r="K67" s="34">
        <v>4</v>
      </c>
      <c r="L67" s="34">
        <v>3</v>
      </c>
      <c r="M67" s="34">
        <v>2</v>
      </c>
      <c r="N67" s="34"/>
      <c r="O67" s="34" t="s">
        <v>1467</v>
      </c>
    </row>
    <row r="68" spans="9:22" x14ac:dyDescent="0.3">
      <c r="I68" s="64" t="s">
        <v>1370</v>
      </c>
      <c r="J68" s="34" t="s">
        <v>1369</v>
      </c>
      <c r="K68" s="305">
        <f>K66*(1+$C$39)^K67</f>
        <v>17932.363706249998</v>
      </c>
      <c r="L68" s="305">
        <f>L66*(1+$C$39)^L67</f>
        <v>18388.873125000002</v>
      </c>
      <c r="M68" s="305">
        <f>M66*(1+$C$39)^M67</f>
        <v>20671.875</v>
      </c>
      <c r="N68" s="305">
        <f>SUM(K68:M68)</f>
        <v>56993.111831250004</v>
      </c>
      <c r="O68" s="303" t="s">
        <v>1368</v>
      </c>
    </row>
    <row r="69" spans="9:22" x14ac:dyDescent="0.3">
      <c r="I69" s="64" t="s">
        <v>1367</v>
      </c>
      <c r="J69" s="34" t="s">
        <v>272</v>
      </c>
      <c r="K69" s="304">
        <f>K68/K65</f>
        <v>0.83281846143718175</v>
      </c>
      <c r="L69" s="304">
        <f>L68/L65</f>
        <v>0.822547554347826</v>
      </c>
      <c r="M69" s="304">
        <f>M68/M65</f>
        <v>0.93857265446224258</v>
      </c>
      <c r="N69" s="304">
        <f>N68/N65</f>
        <v>0.86467257918172069</v>
      </c>
      <c r="O69" s="303" t="s">
        <v>1366</v>
      </c>
    </row>
    <row r="70" spans="9:22" x14ac:dyDescent="0.3">
      <c r="I70" s="61" t="s">
        <v>1365</v>
      </c>
      <c r="J70" s="30" t="s">
        <v>1364</v>
      </c>
      <c r="K70" s="302">
        <f>C27</f>
        <v>7.1428571428571425E-2</v>
      </c>
      <c r="L70" s="302">
        <f>D27</f>
        <v>0.2857142857142857</v>
      </c>
      <c r="M70" s="302">
        <f>E27</f>
        <v>0.6428571428571429</v>
      </c>
      <c r="N70" s="30"/>
      <c r="O70" s="30" t="s">
        <v>634</v>
      </c>
    </row>
    <row r="72" spans="9:22" x14ac:dyDescent="0.3">
      <c r="J72" t="s">
        <v>1465</v>
      </c>
      <c r="M72" s="57">
        <f>SUMPRODUCT(K70:M70,K69:M69)</f>
        <v>0.89786875492776208</v>
      </c>
      <c r="N72" s="9" t="s">
        <v>1464</v>
      </c>
      <c r="O72" s="9"/>
      <c r="P72" s="9"/>
      <c r="Q72" s="9"/>
      <c r="R72" s="9"/>
      <c r="S72" s="9"/>
      <c r="T72" s="9"/>
      <c r="U72" s="9"/>
      <c r="V72" s="9"/>
    </row>
    <row r="73" spans="9:22" x14ac:dyDescent="0.3">
      <c r="J73" t="s">
        <v>1361</v>
      </c>
      <c r="M73" s="86">
        <f>1-SUM(C31:C34)</f>
        <v>0.86</v>
      </c>
      <c r="N73" s="9" t="s">
        <v>1463</v>
      </c>
      <c r="O73" s="9"/>
      <c r="P73" s="9"/>
      <c r="Q73" s="9"/>
      <c r="R73" s="9"/>
      <c r="S73" s="9"/>
      <c r="T73" s="9"/>
      <c r="U73" s="9"/>
      <c r="V73" s="9"/>
    </row>
    <row r="74" spans="9:22" x14ac:dyDescent="0.3">
      <c r="J74" t="s">
        <v>1462</v>
      </c>
      <c r="M74" s="57">
        <f>M72/M73-1</f>
        <v>4.4033435962514078E-2</v>
      </c>
      <c r="N74" s="9" t="s">
        <v>1461</v>
      </c>
      <c r="O74" s="9"/>
      <c r="P74" s="9"/>
      <c r="Q74" s="9"/>
      <c r="R74" s="9"/>
      <c r="S74" s="9"/>
      <c r="T74" s="9"/>
      <c r="U74" s="9"/>
      <c r="V74" s="9"/>
    </row>
    <row r="76" spans="9:22" x14ac:dyDescent="0.3">
      <c r="K76" s="168" t="s">
        <v>1460</v>
      </c>
      <c r="L76" s="166"/>
      <c r="M76" s="59" t="s">
        <v>606</v>
      </c>
      <c r="N76" s="301"/>
      <c r="O76" s="301"/>
    </row>
    <row r="77" spans="9:22" x14ac:dyDescent="0.3">
      <c r="K77" s="243" t="s">
        <v>1355</v>
      </c>
      <c r="L77" s="241"/>
      <c r="M77" s="300">
        <f>(1+M74)*(C41-C42)</f>
        <v>360.19153540706736</v>
      </c>
      <c r="N77" s="9" t="s">
        <v>1459</v>
      </c>
      <c r="O77" s="9"/>
      <c r="P77" s="9"/>
    </row>
    <row r="78" spans="9:22" x14ac:dyDescent="0.3">
      <c r="K78" s="54" t="s">
        <v>1353</v>
      </c>
      <c r="L78" s="106"/>
      <c r="M78" s="299">
        <f>-M39*1000/(2*C44*12)</f>
        <v>10.351604938271631</v>
      </c>
      <c r="N78" s="9" t="s">
        <v>1536</v>
      </c>
      <c r="O78" s="9"/>
      <c r="P78" s="9"/>
      <c r="Q78" s="9"/>
      <c r="R78" s="9"/>
    </row>
    <row r="79" spans="9:22" x14ac:dyDescent="0.3">
      <c r="K79" s="91" t="s">
        <v>1351</v>
      </c>
      <c r="L79" s="297"/>
      <c r="M79" s="298">
        <f>C43</f>
        <v>32</v>
      </c>
      <c r="N79" s="9" t="s">
        <v>634</v>
      </c>
    </row>
    <row r="80" spans="9:22" x14ac:dyDescent="0.3">
      <c r="K80" s="91" t="s">
        <v>1168</v>
      </c>
      <c r="L80" s="297"/>
      <c r="M80" s="5">
        <f>SUM(M77:M79)</f>
        <v>402.543140345339</v>
      </c>
    </row>
    <row r="82" spans="9:13" x14ac:dyDescent="0.3">
      <c r="K82" s="56"/>
      <c r="L82" s="56"/>
      <c r="M82" s="56"/>
    </row>
    <row r="84" spans="9:13" x14ac:dyDescent="0.3">
      <c r="I84" s="182" t="s">
        <v>1535</v>
      </c>
    </row>
    <row r="85" spans="9:13" ht="28.8" x14ac:dyDescent="0.3">
      <c r="K85" s="330" t="str">
        <f>J20</f>
        <v>July 1, 20X0 – June 30, 20X1</v>
      </c>
      <c r="L85" s="330" t="str">
        <f>K20</f>
        <v>July 1, 20X1 – June 30, 20X2</v>
      </c>
      <c r="M85" s="330" t="str">
        <f>L20</f>
        <v>July 1, 20X2 – June 30, 20X3</v>
      </c>
    </row>
    <row r="86" spans="9:13" x14ac:dyDescent="0.3">
      <c r="J86" t="s">
        <v>1369</v>
      </c>
      <c r="K86" s="1">
        <f>K68</f>
        <v>17932.363706249998</v>
      </c>
      <c r="L86" s="1">
        <f>L68</f>
        <v>18388.873125000002</v>
      </c>
      <c r="M86" s="1">
        <f>M68</f>
        <v>20671.875</v>
      </c>
    </row>
    <row r="87" spans="9:13" x14ac:dyDescent="0.3">
      <c r="J87" t="s">
        <v>1456</v>
      </c>
      <c r="K87" s="15">
        <f>1000*K86/(K58*12)</f>
        <v>287.32236919582766</v>
      </c>
      <c r="L87" s="15">
        <f>1000*L86/(L58*12)</f>
        <v>283.77890625000003</v>
      </c>
      <c r="M87" s="15">
        <f>1000*M86/(M58*12)</f>
        <v>323.8075657894737</v>
      </c>
    </row>
    <row r="88" spans="9:13" x14ac:dyDescent="0.3">
      <c r="J88" t="s">
        <v>1364</v>
      </c>
      <c r="K88" s="326">
        <f>K70</f>
        <v>7.1428571428571425E-2</v>
      </c>
      <c r="L88" s="326">
        <f>L70</f>
        <v>0.2857142857142857</v>
      </c>
      <c r="M88" s="326">
        <f>M70</f>
        <v>0.6428571428571429</v>
      </c>
    </row>
    <row r="90" spans="9:13" x14ac:dyDescent="0.3">
      <c r="L90" s="84" t="s">
        <v>1455</v>
      </c>
      <c r="M90" s="56">
        <f>SUMPRODUCT(K87:M87,K88:M88)</f>
        <v>309.76472045007796</v>
      </c>
    </row>
    <row r="91" spans="9:13" x14ac:dyDescent="0.3">
      <c r="L91" t="s">
        <v>1454</v>
      </c>
      <c r="M91" s="86">
        <f>1-SUM(C31:C34)</f>
        <v>0.86</v>
      </c>
    </row>
    <row r="92" spans="9:13" x14ac:dyDescent="0.3">
      <c r="L92" t="s">
        <v>1453</v>
      </c>
      <c r="M92" s="56">
        <f>M90/M91</f>
        <v>360.19153540706742</v>
      </c>
    </row>
    <row r="93" spans="9:13" x14ac:dyDescent="0.3">
      <c r="L93" s="54" t="s">
        <v>1353</v>
      </c>
      <c r="M93" s="56">
        <f>M78</f>
        <v>10.351604938271631</v>
      </c>
    </row>
    <row r="94" spans="9:13" x14ac:dyDescent="0.3">
      <c r="L94" t="s">
        <v>1351</v>
      </c>
      <c r="M94" s="56">
        <f>C43</f>
        <v>32</v>
      </c>
    </row>
    <row r="95" spans="9:13" x14ac:dyDescent="0.3">
      <c r="L95" t="s">
        <v>1168</v>
      </c>
      <c r="M95" s="5">
        <f>M94+M92+M93</f>
        <v>402.54314034533905</v>
      </c>
    </row>
    <row r="97" spans="12:14" x14ac:dyDescent="0.3">
      <c r="L97" t="s">
        <v>1534</v>
      </c>
      <c r="M97" s="57">
        <f>M92/(C41-C42)-1</f>
        <v>4.40334359625143E-2</v>
      </c>
    </row>
    <row r="100" spans="12:14" x14ac:dyDescent="0.3">
      <c r="N100" s="329"/>
    </row>
  </sheetData>
  <mergeCells count="4">
    <mergeCell ref="B10:G10"/>
    <mergeCell ref="B16:G16"/>
    <mergeCell ref="I16:M16"/>
    <mergeCell ref="I36:M36"/>
  </mergeCell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7BA13-22AC-45D3-BCDF-54C1A405CDF9}">
  <sheetPr>
    <tabColor theme="5" tint="0.39997558519241921"/>
  </sheetPr>
  <dimension ref="A1:M42"/>
  <sheetViews>
    <sheetView workbookViewId="0">
      <selection activeCell="Q46" sqref="Q46"/>
    </sheetView>
  </sheetViews>
  <sheetFormatPr defaultRowHeight="14.4" x14ac:dyDescent="0.3"/>
  <cols>
    <col min="9" max="9" width="12.33203125" bestFit="1" customWidth="1"/>
    <col min="10" max="11" width="14.33203125" customWidth="1"/>
    <col min="12" max="13" width="15.6640625" customWidth="1"/>
  </cols>
  <sheetData>
    <row r="1" spans="1:8" ht="15" thickBot="1" x14ac:dyDescent="0.35">
      <c r="A1" t="s">
        <v>1275</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v>7.1999999999999995E-2</v>
      </c>
      <c r="D12" t="s">
        <v>1274</v>
      </c>
    </row>
    <row r="13" spans="1:8" x14ac:dyDescent="0.3">
      <c r="D13" t="s">
        <v>1273</v>
      </c>
    </row>
    <row r="14" spans="1:8" x14ac:dyDescent="0.3">
      <c r="D14" t="s">
        <v>1272</v>
      </c>
    </row>
    <row r="16" spans="1:8" x14ac:dyDescent="0.3">
      <c r="D16" t="s">
        <v>1271</v>
      </c>
    </row>
    <row r="17" spans="3:13" x14ac:dyDescent="0.3">
      <c r="C17" s="56">
        <v>325</v>
      </c>
      <c r="D17" t="s">
        <v>1270</v>
      </c>
    </row>
    <row r="18" spans="3:13" x14ac:dyDescent="0.3">
      <c r="C18" s="56">
        <v>30.25</v>
      </c>
      <c r="D18" t="s">
        <v>1269</v>
      </c>
      <c r="K18" s="56"/>
    </row>
    <row r="19" spans="3:13" x14ac:dyDescent="0.3">
      <c r="C19" s="56">
        <v>33</v>
      </c>
      <c r="D19" t="s">
        <v>1268</v>
      </c>
    </row>
    <row r="20" spans="3:13" x14ac:dyDescent="0.3">
      <c r="C20" s="90">
        <v>4450</v>
      </c>
      <c r="D20" t="s">
        <v>1267</v>
      </c>
    </row>
    <row r="21" spans="3:13" ht="15" thickBot="1" x14ac:dyDescent="0.35"/>
    <row r="22" spans="3:13" ht="15" thickBot="1" x14ac:dyDescent="0.35">
      <c r="C22" s="375" t="s">
        <v>4</v>
      </c>
      <c r="D22" s="376"/>
      <c r="E22" s="376"/>
      <c r="F22" s="376"/>
      <c r="G22" s="377"/>
      <c r="I22" s="375" t="s">
        <v>3</v>
      </c>
      <c r="J22" s="376"/>
      <c r="K22" s="376"/>
      <c r="L22" s="376"/>
      <c r="M22" s="377"/>
    </row>
    <row r="24" spans="3:13" x14ac:dyDescent="0.3">
      <c r="E24" s="83" t="s">
        <v>1266</v>
      </c>
    </row>
    <row r="25" spans="3:13" x14ac:dyDescent="0.3">
      <c r="E25" s="84" t="s">
        <v>1265</v>
      </c>
      <c r="F25" s="136">
        <v>7.1999999999999995E-2</v>
      </c>
    </row>
    <row r="26" spans="3:13" x14ac:dyDescent="0.3">
      <c r="E26" s="84" t="s">
        <v>1264</v>
      </c>
      <c r="F26" s="136">
        <v>0.03</v>
      </c>
    </row>
    <row r="27" spans="3:13" x14ac:dyDescent="0.3">
      <c r="E27" s="84" t="s">
        <v>1263</v>
      </c>
      <c r="F27" s="136">
        <v>1.7999999999999999E-2</v>
      </c>
    </row>
    <row r="28" spans="3:13" x14ac:dyDescent="0.3">
      <c r="E28" s="84" t="s">
        <v>1262</v>
      </c>
      <c r="F28" s="136">
        <v>0.02</v>
      </c>
    </row>
    <row r="29" spans="3:13" x14ac:dyDescent="0.3">
      <c r="E29" s="84" t="s">
        <v>1261</v>
      </c>
      <c r="F29" s="136">
        <v>1.4999999999999999E-2</v>
      </c>
    </row>
    <row r="34" spans="3:6" x14ac:dyDescent="0.3">
      <c r="D34" t="s">
        <v>1260</v>
      </c>
      <c r="E34" t="s">
        <v>1259</v>
      </c>
      <c r="F34" t="s">
        <v>1258</v>
      </c>
    </row>
    <row r="35" spans="3:6" x14ac:dyDescent="0.3">
      <c r="D35" t="s">
        <v>1257</v>
      </c>
      <c r="E35" s="282">
        <v>43465</v>
      </c>
      <c r="F35" s="282">
        <v>43830</v>
      </c>
    </row>
    <row r="36" spans="3:6" x14ac:dyDescent="0.3">
      <c r="C36" s="84" t="s">
        <v>1111</v>
      </c>
      <c r="D36" s="4">
        <v>275</v>
      </c>
      <c r="E36" s="4">
        <v>300</v>
      </c>
      <c r="F36" s="4">
        <v>325</v>
      </c>
    </row>
    <row r="37" spans="3:6" x14ac:dyDescent="0.3">
      <c r="C37" s="84" t="s">
        <v>1018</v>
      </c>
      <c r="D37" s="90">
        <v>4106</v>
      </c>
      <c r="E37" s="90">
        <v>4118</v>
      </c>
      <c r="F37" s="90">
        <v>4378</v>
      </c>
    </row>
    <row r="38" spans="3:6" x14ac:dyDescent="0.3">
      <c r="C38" s="84" t="s">
        <v>1256</v>
      </c>
      <c r="D38" s="4">
        <v>13550</v>
      </c>
      <c r="E38" s="4">
        <v>14825</v>
      </c>
      <c r="F38" s="4">
        <v>17075</v>
      </c>
    </row>
    <row r="39" spans="3:6" x14ac:dyDescent="0.3">
      <c r="C39" s="84" t="s">
        <v>1255</v>
      </c>
      <c r="D39" s="4">
        <v>11125</v>
      </c>
      <c r="E39" s="4">
        <v>12750</v>
      </c>
      <c r="F39" s="4">
        <v>13950</v>
      </c>
    </row>
    <row r="40" spans="3:6" x14ac:dyDescent="0.3">
      <c r="C40" s="84" t="s">
        <v>1254</v>
      </c>
      <c r="D40" s="4">
        <v>125</v>
      </c>
      <c r="E40" s="4">
        <v>625</v>
      </c>
      <c r="F40" s="4">
        <v>1300</v>
      </c>
    </row>
    <row r="41" spans="3:6" x14ac:dyDescent="0.3">
      <c r="C41" s="84" t="s">
        <v>1253</v>
      </c>
      <c r="D41" s="4">
        <v>1152</v>
      </c>
      <c r="E41" s="4">
        <v>1260</v>
      </c>
      <c r="F41" s="4">
        <v>1451</v>
      </c>
    </row>
    <row r="42" spans="3:6" x14ac:dyDescent="0.3">
      <c r="C42" s="84" t="s">
        <v>1252</v>
      </c>
      <c r="D42" s="4">
        <v>275</v>
      </c>
      <c r="E42" s="4">
        <v>550</v>
      </c>
      <c r="F42" s="4">
        <v>625</v>
      </c>
    </row>
  </sheetData>
  <mergeCells count="3">
    <mergeCell ref="C10:F10"/>
    <mergeCell ref="C22:G22"/>
    <mergeCell ref="I22:M2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28E11-26A1-443D-938B-BBE62999B100}">
  <sheetPr>
    <tabColor theme="5" tint="0.39997558519241921"/>
  </sheetPr>
  <dimension ref="A1:M59"/>
  <sheetViews>
    <sheetView workbookViewId="0">
      <selection activeCell="B5" sqref="B5"/>
    </sheetView>
  </sheetViews>
  <sheetFormatPr defaultRowHeight="14.4" x14ac:dyDescent="0.3"/>
  <cols>
    <col min="3" max="3" width="13.5546875" customWidth="1"/>
    <col min="4" max="4" width="16" bestFit="1" customWidth="1"/>
    <col min="5" max="5" width="15.33203125" customWidth="1"/>
    <col min="9" max="9" width="11.6640625" customWidth="1"/>
    <col min="11" max="11" width="11.88671875" bestFit="1" customWidth="1"/>
    <col min="12" max="12" width="12.109375" customWidth="1"/>
    <col min="13" max="13" width="10.6640625" customWidth="1"/>
    <col min="14" max="15" width="13.109375" customWidth="1"/>
  </cols>
  <sheetData>
    <row r="1" spans="1:8" ht="15" thickBot="1" x14ac:dyDescent="0.35">
      <c r="A1" t="s">
        <v>68</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3" spans="1:8" x14ac:dyDescent="0.3">
      <c r="C13">
        <v>50</v>
      </c>
      <c r="D13" t="s">
        <v>67</v>
      </c>
    </row>
    <row r="14" spans="1:8" x14ac:dyDescent="0.3">
      <c r="C14">
        <v>100</v>
      </c>
      <c r="D14" t="s">
        <v>67</v>
      </c>
    </row>
    <row r="15" spans="1:8" x14ac:dyDescent="0.3">
      <c r="C15">
        <v>0.05</v>
      </c>
      <c r="D15" t="s">
        <v>66</v>
      </c>
    </row>
    <row r="21" spans="1:13" ht="15" thickBot="1" x14ac:dyDescent="0.35"/>
    <row r="22" spans="1:13" ht="15" thickBot="1" x14ac:dyDescent="0.35">
      <c r="C22" s="375" t="s">
        <v>4</v>
      </c>
      <c r="D22" s="376"/>
      <c r="E22" s="376"/>
      <c r="F22" s="376"/>
      <c r="G22" s="377"/>
      <c r="I22" s="375" t="s">
        <v>3</v>
      </c>
      <c r="J22" s="376"/>
      <c r="K22" s="376"/>
      <c r="L22" s="376"/>
      <c r="M22" s="377"/>
    </row>
    <row r="24" spans="1:13" s="26" customFormat="1" x14ac:dyDescent="0.3">
      <c r="A24" s="26" t="s">
        <v>65</v>
      </c>
    </row>
    <row r="25" spans="1:13" x14ac:dyDescent="0.3">
      <c r="C25" t="s">
        <v>64</v>
      </c>
    </row>
    <row r="26" spans="1:13" x14ac:dyDescent="0.3">
      <c r="C26" s="14"/>
      <c r="D26" s="14"/>
      <c r="E26" s="52" t="s">
        <v>63</v>
      </c>
    </row>
    <row r="27" spans="1:13" x14ac:dyDescent="0.3">
      <c r="C27" s="73" t="s">
        <v>62</v>
      </c>
      <c r="D27" s="59" t="s">
        <v>61</v>
      </c>
      <c r="E27" s="68" t="s">
        <v>60</v>
      </c>
    </row>
    <row r="28" spans="1:13" x14ac:dyDescent="0.3">
      <c r="C28" s="80">
        <v>0</v>
      </c>
      <c r="D28" s="79">
        <v>0.15</v>
      </c>
      <c r="E28" s="78">
        <v>0</v>
      </c>
    </row>
    <row r="29" spans="1:13" x14ac:dyDescent="0.3">
      <c r="C29" s="72" t="s">
        <v>59</v>
      </c>
      <c r="D29" s="77">
        <v>0.25</v>
      </c>
      <c r="E29" s="76">
        <v>19.05</v>
      </c>
    </row>
    <row r="30" spans="1:13" x14ac:dyDescent="0.3">
      <c r="C30" s="72" t="s">
        <v>58</v>
      </c>
      <c r="D30" s="77">
        <v>0.3</v>
      </c>
      <c r="E30" s="76">
        <v>66.67</v>
      </c>
    </row>
    <row r="31" spans="1:13" x14ac:dyDescent="0.3">
      <c r="C31" s="72" t="s">
        <v>57</v>
      </c>
      <c r="D31" s="77">
        <v>0.2</v>
      </c>
      <c r="E31" s="76">
        <v>238.1</v>
      </c>
    </row>
    <row r="32" spans="1:13" x14ac:dyDescent="0.3">
      <c r="C32" s="72" t="s">
        <v>56</v>
      </c>
      <c r="D32" s="77">
        <v>9.5000000000000001E-2</v>
      </c>
      <c r="E32" s="76">
        <v>761.9</v>
      </c>
    </row>
    <row r="33" spans="1:5" x14ac:dyDescent="0.3">
      <c r="C33" s="24" t="s">
        <v>55</v>
      </c>
      <c r="D33" s="75">
        <v>5.0000000000000001E-3</v>
      </c>
      <c r="E33" s="74">
        <v>1904.76</v>
      </c>
    </row>
    <row r="41" spans="1:5" s="26" customFormat="1" x14ac:dyDescent="0.3">
      <c r="A41" s="26" t="s">
        <v>54</v>
      </c>
    </row>
    <row r="44" spans="1:5" x14ac:dyDescent="0.3">
      <c r="C44" t="s">
        <v>53</v>
      </c>
    </row>
    <row r="45" spans="1:5" x14ac:dyDescent="0.3">
      <c r="C45" s="73" t="s">
        <v>52</v>
      </c>
      <c r="D45" s="59" t="s">
        <v>51</v>
      </c>
      <c r="E45" s="67" t="s">
        <v>50</v>
      </c>
    </row>
    <row r="46" spans="1:5" x14ac:dyDescent="0.3">
      <c r="C46" s="72" t="s">
        <v>49</v>
      </c>
      <c r="D46" s="71">
        <v>0.35</v>
      </c>
      <c r="E46" s="70">
        <v>0.4</v>
      </c>
    </row>
    <row r="47" spans="1:5" x14ac:dyDescent="0.3">
      <c r="C47" s="72" t="s">
        <v>48</v>
      </c>
      <c r="D47" s="71">
        <v>0.2</v>
      </c>
      <c r="E47" s="70">
        <v>0.65</v>
      </c>
    </row>
    <row r="48" spans="1:5" x14ac:dyDescent="0.3">
      <c r="C48" s="24" t="s">
        <v>47</v>
      </c>
      <c r="D48" s="69">
        <v>0.05</v>
      </c>
      <c r="E48" s="68" t="s">
        <v>46</v>
      </c>
    </row>
    <row r="50" spans="3:5" x14ac:dyDescent="0.3">
      <c r="C50" s="44"/>
      <c r="D50" s="387" t="s">
        <v>45</v>
      </c>
      <c r="E50" s="386"/>
    </row>
    <row r="51" spans="3:5" x14ac:dyDescent="0.3">
      <c r="C51" s="64"/>
      <c r="D51" s="388" t="s">
        <v>44</v>
      </c>
      <c r="E51" s="389" t="s">
        <v>43</v>
      </c>
    </row>
    <row r="52" spans="3:5" x14ac:dyDescent="0.3">
      <c r="C52" s="61" t="s">
        <v>42</v>
      </c>
      <c r="D52" s="388"/>
      <c r="E52" s="389"/>
    </row>
    <row r="53" spans="3:5" x14ac:dyDescent="0.3">
      <c r="C53" s="64" t="s">
        <v>40</v>
      </c>
      <c r="D53" s="65">
        <v>4500</v>
      </c>
      <c r="E53" s="62">
        <v>75</v>
      </c>
    </row>
    <row r="54" spans="3:5" x14ac:dyDescent="0.3">
      <c r="C54" s="64" t="s">
        <v>39</v>
      </c>
      <c r="D54" s="63">
        <v>1500</v>
      </c>
      <c r="E54" s="62">
        <v>238</v>
      </c>
    </row>
    <row r="55" spans="3:5" x14ac:dyDescent="0.3">
      <c r="C55" s="61" t="s">
        <v>38</v>
      </c>
      <c r="D55" s="61">
        <v>500</v>
      </c>
      <c r="E55" s="60">
        <v>2500</v>
      </c>
    </row>
    <row r="57" spans="3:5" x14ac:dyDescent="0.3">
      <c r="C57" s="386" t="s">
        <v>41</v>
      </c>
      <c r="D57" s="386"/>
      <c r="E57" s="386"/>
    </row>
    <row r="58" spans="3:5" x14ac:dyDescent="0.3">
      <c r="C58" s="59" t="s">
        <v>40</v>
      </c>
      <c r="D58" s="59" t="s">
        <v>39</v>
      </c>
      <c r="E58" s="59" t="s">
        <v>38</v>
      </c>
    </row>
    <row r="59" spans="3:5" x14ac:dyDescent="0.3">
      <c r="C59" s="58">
        <v>0</v>
      </c>
      <c r="D59" s="58">
        <v>0.2</v>
      </c>
      <c r="E59" s="58">
        <v>0.5</v>
      </c>
    </row>
  </sheetData>
  <mergeCells count="7">
    <mergeCell ref="C57:E57"/>
    <mergeCell ref="C10:F10"/>
    <mergeCell ref="C22:G22"/>
    <mergeCell ref="I22:M22"/>
    <mergeCell ref="D50:E50"/>
    <mergeCell ref="D51:D52"/>
    <mergeCell ref="E51:E52"/>
  </mergeCells>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3832C-8CC6-4074-AAD3-D5763B28BDE6}">
  <sheetPr>
    <tabColor theme="9" tint="0.59999389629810485"/>
  </sheetPr>
  <dimension ref="A1:Z61"/>
  <sheetViews>
    <sheetView topLeftCell="A26" workbookViewId="0">
      <selection activeCell="I63" sqref="I63"/>
    </sheetView>
  </sheetViews>
  <sheetFormatPr defaultRowHeight="14.4" x14ac:dyDescent="0.3"/>
  <cols>
    <col min="9" max="9" width="12.33203125" bestFit="1" customWidth="1"/>
    <col min="10" max="11" width="14.33203125" customWidth="1"/>
    <col min="12" max="13" width="15.6640625" customWidth="1"/>
  </cols>
  <sheetData>
    <row r="1" spans="1:8" ht="15" thickBot="1" x14ac:dyDescent="0.35">
      <c r="A1" t="s">
        <v>1275</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2" spans="1:8" x14ac:dyDescent="0.3">
      <c r="C12">
        <v>7.1999999999999995E-2</v>
      </c>
      <c r="D12" t="s">
        <v>1274</v>
      </c>
    </row>
    <row r="13" spans="1:8" x14ac:dyDescent="0.3">
      <c r="D13" t="s">
        <v>1273</v>
      </c>
    </row>
    <row r="14" spans="1:8" x14ac:dyDescent="0.3">
      <c r="D14" t="s">
        <v>1272</v>
      </c>
    </row>
    <row r="16" spans="1:8" x14ac:dyDescent="0.3">
      <c r="D16" t="s">
        <v>1271</v>
      </c>
    </row>
    <row r="17" spans="3:26" x14ac:dyDescent="0.3">
      <c r="C17" s="56">
        <v>325</v>
      </c>
      <c r="D17" t="s">
        <v>1270</v>
      </c>
    </row>
    <row r="18" spans="3:26" x14ac:dyDescent="0.3">
      <c r="C18" s="56">
        <v>30.25</v>
      </c>
      <c r="D18" t="s">
        <v>1269</v>
      </c>
      <c r="K18" s="56"/>
    </row>
    <row r="19" spans="3:26" x14ac:dyDescent="0.3">
      <c r="C19" s="56">
        <v>33</v>
      </c>
      <c r="D19" t="s">
        <v>1268</v>
      </c>
    </row>
    <row r="20" spans="3:26" x14ac:dyDescent="0.3">
      <c r="C20" s="90">
        <v>4450</v>
      </c>
      <c r="D20" t="s">
        <v>1267</v>
      </c>
    </row>
    <row r="21" spans="3:26" ht="15" thickBot="1" x14ac:dyDescent="0.35"/>
    <row r="22" spans="3:26" ht="15" thickBot="1" x14ac:dyDescent="0.35">
      <c r="C22" s="375" t="s">
        <v>4</v>
      </c>
      <c r="D22" s="376"/>
      <c r="E22" s="376"/>
      <c r="F22" s="376"/>
      <c r="G22" s="377"/>
      <c r="I22" s="375" t="s">
        <v>3</v>
      </c>
      <c r="J22" s="376"/>
      <c r="K22" s="376"/>
      <c r="L22" s="376"/>
      <c r="M22" s="377"/>
    </row>
    <row r="24" spans="3:26" x14ac:dyDescent="0.3">
      <c r="E24" s="83" t="s">
        <v>1266</v>
      </c>
      <c r="J24" s="14" t="s">
        <v>1552</v>
      </c>
      <c r="K24" s="14" t="s">
        <v>288</v>
      </c>
    </row>
    <row r="25" spans="3:26" x14ac:dyDescent="0.3">
      <c r="E25" s="84" t="s">
        <v>1265</v>
      </c>
      <c r="F25" s="136">
        <v>7.1999999999999995E-2</v>
      </c>
      <c r="J25" s="14">
        <f>0.067</f>
        <v>6.7000000000000004E-2</v>
      </c>
      <c r="K25" s="14">
        <v>2019</v>
      </c>
    </row>
    <row r="26" spans="3:26" x14ac:dyDescent="0.3">
      <c r="E26" s="84" t="s">
        <v>1264</v>
      </c>
      <c r="F26" s="136">
        <v>0.03</v>
      </c>
      <c r="J26" s="14">
        <v>5.5E-2</v>
      </c>
      <c r="K26" s="14">
        <v>2020</v>
      </c>
    </row>
    <row r="27" spans="3:26" x14ac:dyDescent="0.3">
      <c r="E27" s="84" t="s">
        <v>1263</v>
      </c>
      <c r="F27" s="136">
        <v>1.7999999999999999E-2</v>
      </c>
      <c r="J27" s="14"/>
      <c r="K27" s="14"/>
    </row>
    <row r="28" spans="3:26" ht="15" thickBot="1" x14ac:dyDescent="0.35">
      <c r="E28" s="84" t="s">
        <v>1262</v>
      </c>
      <c r="F28" s="136">
        <v>0.02</v>
      </c>
      <c r="I28" s="378" t="s">
        <v>1551</v>
      </c>
      <c r="J28" s="378"/>
      <c r="K28" s="14"/>
    </row>
    <row r="29" spans="3:26" ht="15.6" thickTop="1" thickBot="1" x14ac:dyDescent="0.35">
      <c r="E29" s="84" t="s">
        <v>1261</v>
      </c>
      <c r="F29" s="136">
        <v>1.4999999999999999E-2</v>
      </c>
      <c r="I29" s="56">
        <f>1000*F38/(F37*12)</f>
        <v>325.01522765341861</v>
      </c>
      <c r="J29" t="s">
        <v>1270</v>
      </c>
      <c r="K29" s="14"/>
      <c r="M29" s="7" t="b">
        <f>I29=C17</f>
        <v>0</v>
      </c>
    </row>
    <row r="30" spans="3:26" ht="15.6" thickTop="1" thickBot="1" x14ac:dyDescent="0.35">
      <c r="I30" s="56">
        <f>1000*F41/(F37*12)</f>
        <v>27.619156388000608</v>
      </c>
      <c r="J30" t="s">
        <v>1269</v>
      </c>
      <c r="K30" s="14"/>
      <c r="M30" s="7" t="b">
        <f>I30=C18</f>
        <v>0</v>
      </c>
      <c r="N30" s="9" t="s">
        <v>1550</v>
      </c>
      <c r="O30" s="9"/>
      <c r="P30" s="9"/>
      <c r="Q30" s="9"/>
      <c r="R30" s="9"/>
      <c r="S30" s="9"/>
      <c r="T30" s="9"/>
      <c r="U30" s="9"/>
      <c r="V30" s="9"/>
      <c r="W30" s="9"/>
      <c r="X30" s="9"/>
      <c r="Y30" s="9"/>
      <c r="Z30" s="9"/>
    </row>
    <row r="31" spans="3:26" ht="15" thickTop="1" x14ac:dyDescent="0.3">
      <c r="I31" s="56"/>
      <c r="J31" s="14"/>
      <c r="K31" s="14"/>
    </row>
    <row r="33" spans="3:11" x14ac:dyDescent="0.3">
      <c r="J33" s="378">
        <v>2018</v>
      </c>
      <c r="K33" s="378"/>
    </row>
    <row r="34" spans="3:11" x14ac:dyDescent="0.3">
      <c r="D34" t="s">
        <v>1260</v>
      </c>
      <c r="E34" t="s">
        <v>1259</v>
      </c>
      <c r="F34" t="s">
        <v>1258</v>
      </c>
      <c r="J34" s="25" t="s">
        <v>1549</v>
      </c>
      <c r="K34" s="25" t="s">
        <v>606</v>
      </c>
    </row>
    <row r="35" spans="3:11" x14ac:dyDescent="0.3">
      <c r="D35" t="s">
        <v>1257</v>
      </c>
      <c r="E35" s="282">
        <v>43465</v>
      </c>
      <c r="F35" s="282">
        <v>43830</v>
      </c>
      <c r="I35" s="84" t="s">
        <v>275</v>
      </c>
      <c r="J35" s="90">
        <f>E37</f>
        <v>4118</v>
      </c>
      <c r="K35" s="90">
        <f>J35</f>
        <v>4118</v>
      </c>
    </row>
    <row r="36" spans="3:11" x14ac:dyDescent="0.3">
      <c r="C36" s="84" t="s">
        <v>1111</v>
      </c>
      <c r="D36" s="4">
        <v>275</v>
      </c>
      <c r="E36" s="4">
        <v>300</v>
      </c>
      <c r="F36" s="4">
        <v>325</v>
      </c>
      <c r="I36" s="84" t="s">
        <v>1388</v>
      </c>
      <c r="J36" s="4">
        <f>E38*1000</f>
        <v>14825000</v>
      </c>
      <c r="K36" s="56">
        <f>J36/(J35*12)</f>
        <v>300.00404727213856</v>
      </c>
    </row>
    <row r="37" spans="3:11" x14ac:dyDescent="0.3">
      <c r="C37" s="84" t="s">
        <v>1018</v>
      </c>
      <c r="D37" s="90">
        <v>4106</v>
      </c>
      <c r="E37" s="90">
        <v>4118</v>
      </c>
      <c r="F37" s="90">
        <v>4378</v>
      </c>
      <c r="I37" s="84" t="s">
        <v>1387</v>
      </c>
      <c r="J37" s="4">
        <f>E41*1000</f>
        <v>1260000</v>
      </c>
      <c r="K37" s="56">
        <f>J37/(J35*12)</f>
        <v>25.497814473045167</v>
      </c>
    </row>
    <row r="38" spans="3:11" x14ac:dyDescent="0.3">
      <c r="C38" s="84" t="s">
        <v>1256</v>
      </c>
      <c r="D38" s="4">
        <v>13550</v>
      </c>
      <c r="E38" s="4">
        <v>14825</v>
      </c>
      <c r="F38" s="4">
        <v>17075</v>
      </c>
      <c r="I38" s="84" t="s">
        <v>1383</v>
      </c>
      <c r="J38" s="4">
        <f>J36-J37</f>
        <v>13565000</v>
      </c>
      <c r="K38" s="56">
        <f>K36-K37</f>
        <v>274.50623279909337</v>
      </c>
    </row>
    <row r="39" spans="3:11" x14ac:dyDescent="0.3">
      <c r="C39" s="84" t="s">
        <v>1255</v>
      </c>
      <c r="D39" s="4">
        <v>11125</v>
      </c>
      <c r="E39" s="4">
        <v>12750</v>
      </c>
      <c r="F39" s="4">
        <v>13950</v>
      </c>
      <c r="I39" s="84" t="s">
        <v>1380</v>
      </c>
      <c r="J39" s="337">
        <f>K39</f>
        <v>1.0833854963252414</v>
      </c>
      <c r="K39" s="337">
        <f>(I29-I30)/K38</f>
        <v>1.0833854963252414</v>
      </c>
    </row>
    <row r="40" spans="3:11" x14ac:dyDescent="0.3">
      <c r="C40" s="84" t="s">
        <v>1254</v>
      </c>
      <c r="D40" s="4">
        <v>125</v>
      </c>
      <c r="E40" s="4">
        <v>625</v>
      </c>
      <c r="F40" s="4">
        <v>1300</v>
      </c>
      <c r="I40" s="84" t="s">
        <v>1377</v>
      </c>
      <c r="J40" s="4">
        <f>J38*J39</f>
        <v>14696124.257651899</v>
      </c>
      <c r="K40" s="56">
        <f>K38*K39</f>
        <v>297.39607126541802</v>
      </c>
    </row>
    <row r="41" spans="3:11" x14ac:dyDescent="0.3">
      <c r="C41" s="84" t="s">
        <v>1253</v>
      </c>
      <c r="D41" s="4">
        <v>1152</v>
      </c>
      <c r="E41" s="4">
        <v>1260</v>
      </c>
      <c r="F41" s="4">
        <v>1451</v>
      </c>
      <c r="I41" s="84" t="s">
        <v>273</v>
      </c>
      <c r="J41" s="4">
        <f>(E39+(E40-D40)-E42)*1000</f>
        <v>12700000</v>
      </c>
      <c r="K41" s="56">
        <f>J41/(J35*12)</f>
        <v>257.00178079974097</v>
      </c>
    </row>
    <row r="42" spans="3:11" x14ac:dyDescent="0.3">
      <c r="C42" s="84" t="s">
        <v>1252</v>
      </c>
      <c r="D42" s="4">
        <v>275</v>
      </c>
      <c r="E42" s="4">
        <v>550</v>
      </c>
      <c r="F42" s="4">
        <v>625</v>
      </c>
      <c r="I42" s="84" t="s">
        <v>1372</v>
      </c>
      <c r="J42">
        <v>2</v>
      </c>
    </row>
    <row r="43" spans="3:11" x14ac:dyDescent="0.3">
      <c r="I43" s="84" t="s">
        <v>1369</v>
      </c>
      <c r="J43" s="4">
        <f>J41*(1+$J$25)*(1+$J$26)</f>
        <v>14296199.5</v>
      </c>
      <c r="K43" s="56">
        <f>K41*(1+$J$25)*(1+$J$26)</f>
        <v>289.30304961955636</v>
      </c>
    </row>
    <row r="44" spans="3:11" x14ac:dyDescent="0.3">
      <c r="I44" s="84" t="s">
        <v>272</v>
      </c>
      <c r="J44" s="144">
        <f>J43/J40</f>
        <v>0.97278705931982934</v>
      </c>
      <c r="K44" s="144">
        <f>K43/K40</f>
        <v>0.97278705931982923</v>
      </c>
    </row>
    <row r="45" spans="3:11" x14ac:dyDescent="0.3">
      <c r="I45" s="84" t="s">
        <v>1364</v>
      </c>
      <c r="J45" s="55">
        <v>1</v>
      </c>
      <c r="K45" s="55">
        <v>1</v>
      </c>
    </row>
    <row r="50" spans="9:25" x14ac:dyDescent="0.3">
      <c r="J50" s="84" t="s">
        <v>1548</v>
      </c>
      <c r="K50" s="57">
        <f>J44*J45</f>
        <v>0.97278705931982934</v>
      </c>
      <c r="L50" s="9" t="s">
        <v>1547</v>
      </c>
      <c r="M50" s="9"/>
      <c r="N50" s="9"/>
      <c r="O50" s="9"/>
      <c r="P50" s="9"/>
      <c r="Q50" s="9"/>
      <c r="R50" s="9"/>
      <c r="S50" s="9"/>
      <c r="T50" s="9"/>
      <c r="U50" s="9"/>
      <c r="V50" s="9"/>
      <c r="W50" s="9"/>
      <c r="X50" s="9"/>
      <c r="Y50" s="9"/>
    </row>
    <row r="51" spans="9:25" x14ac:dyDescent="0.3">
      <c r="J51" s="84" t="s">
        <v>1546</v>
      </c>
      <c r="K51" s="336">
        <f>1-SUM(F25:F29)</f>
        <v>0.84499999999999997</v>
      </c>
    </row>
    <row r="52" spans="9:25" x14ac:dyDescent="0.3">
      <c r="J52" s="84" t="s">
        <v>1545</v>
      </c>
      <c r="K52" s="57">
        <f>K50/K51-1</f>
        <v>0.15122728913589278</v>
      </c>
    </row>
    <row r="53" spans="9:25" x14ac:dyDescent="0.3">
      <c r="J53" s="84"/>
    </row>
    <row r="55" spans="9:25" x14ac:dyDescent="0.3">
      <c r="I55" s="168" t="s">
        <v>1460</v>
      </c>
      <c r="J55" s="167"/>
      <c r="K55" s="59" t="s">
        <v>606</v>
      </c>
    </row>
    <row r="56" spans="9:25" x14ac:dyDescent="0.3">
      <c r="I56" s="243" t="s">
        <v>1544</v>
      </c>
      <c r="J56" s="242"/>
      <c r="K56" s="335">
        <f>(F38-F41)*1000/(F37*12)</f>
        <v>297.39607126541802</v>
      </c>
    </row>
    <row r="57" spans="9:25" x14ac:dyDescent="0.3">
      <c r="I57" s="54" t="s">
        <v>1355</v>
      </c>
      <c r="K57" s="334">
        <f>(1+K52)*(K56)</f>
        <v>342.37047292255198</v>
      </c>
    </row>
    <row r="58" spans="9:25" x14ac:dyDescent="0.3">
      <c r="I58" s="54" t="s">
        <v>1353</v>
      </c>
      <c r="K58" s="334">
        <v>0</v>
      </c>
    </row>
    <row r="59" spans="9:25" x14ac:dyDescent="0.3">
      <c r="I59" s="91" t="s">
        <v>1351</v>
      </c>
      <c r="J59" s="26"/>
      <c r="K59" s="333">
        <f>C19</f>
        <v>33</v>
      </c>
    </row>
    <row r="60" spans="9:25" x14ac:dyDescent="0.3">
      <c r="I60" s="243" t="s">
        <v>1168</v>
      </c>
      <c r="J60" s="242"/>
      <c r="K60" s="5">
        <f>SUM(K57:K59)</f>
        <v>375.37047292255198</v>
      </c>
    </row>
    <row r="61" spans="9:25" x14ac:dyDescent="0.3">
      <c r="I61" s="91" t="s">
        <v>1543</v>
      </c>
      <c r="J61" s="26"/>
      <c r="K61" s="12">
        <f>K60/I29-1</f>
        <v>0.15493195698150464</v>
      </c>
    </row>
  </sheetData>
  <mergeCells count="5">
    <mergeCell ref="C10:F10"/>
    <mergeCell ref="C22:G22"/>
    <mergeCell ref="I22:M22"/>
    <mergeCell ref="I28:J28"/>
    <mergeCell ref="J33:K33"/>
  </mergeCells>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10DE3-B6FA-49A9-B619-70D29F0072B5}">
  <sheetPr>
    <tabColor theme="5" tint="0.39997558519241921"/>
  </sheetPr>
  <dimension ref="A1:M43"/>
  <sheetViews>
    <sheetView workbookViewId="0">
      <selection activeCell="Q46" sqref="Q46"/>
    </sheetView>
  </sheetViews>
  <sheetFormatPr defaultRowHeight="14.4" x14ac:dyDescent="0.3"/>
  <cols>
    <col min="3" max="3" width="24.109375" customWidth="1"/>
    <col min="4" max="6" width="13" customWidth="1"/>
    <col min="9" max="9" width="14.6640625" customWidth="1"/>
    <col min="10" max="10" width="10.88671875" bestFit="1" customWidth="1"/>
    <col min="11" max="11" width="13.33203125" bestFit="1" customWidth="1"/>
    <col min="12" max="12" width="11.33203125" bestFit="1" customWidth="1"/>
    <col min="13" max="13" width="14.33203125" bestFit="1" customWidth="1"/>
  </cols>
  <sheetData>
    <row r="1" spans="1:13" ht="15" thickBot="1" x14ac:dyDescent="0.35">
      <c r="A1" t="s">
        <v>1283</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3" spans="1:13" ht="15" thickBot="1" x14ac:dyDescent="0.35"/>
    <row r="14" spans="1:13" ht="15" thickBot="1" x14ac:dyDescent="0.35">
      <c r="C14" s="375" t="s">
        <v>4</v>
      </c>
      <c r="D14" s="376"/>
      <c r="E14" s="376"/>
      <c r="F14" s="376"/>
      <c r="G14" s="377"/>
      <c r="I14" s="375" t="s">
        <v>3</v>
      </c>
      <c r="J14" s="376"/>
      <c r="K14" s="376"/>
      <c r="L14" s="376"/>
      <c r="M14" s="377"/>
    </row>
    <row r="15" spans="1:13" s="26" customFormat="1" x14ac:dyDescent="0.3">
      <c r="A15" s="26" t="s">
        <v>54</v>
      </c>
    </row>
    <row r="16" spans="1:13" x14ac:dyDescent="0.3">
      <c r="D16" t="s">
        <v>1278</v>
      </c>
      <c r="E16" t="s">
        <v>1277</v>
      </c>
    </row>
    <row r="17" spans="3:6" x14ac:dyDescent="0.3">
      <c r="C17" t="s">
        <v>1282</v>
      </c>
      <c r="D17" s="425">
        <v>10000</v>
      </c>
      <c r="E17" s="425"/>
    </row>
    <row r="18" spans="3:6" x14ac:dyDescent="0.3">
      <c r="C18" t="s">
        <v>1281</v>
      </c>
      <c r="D18" s="14">
        <v>1</v>
      </c>
      <c r="E18" s="14">
        <v>1.2</v>
      </c>
    </row>
    <row r="19" spans="3:6" x14ac:dyDescent="0.3">
      <c r="C19" t="s">
        <v>1280</v>
      </c>
      <c r="D19" s="14">
        <v>1</v>
      </c>
      <c r="E19" s="14">
        <v>0.85</v>
      </c>
    </row>
    <row r="20" spans="3:6" x14ac:dyDescent="0.3">
      <c r="C20" t="s">
        <v>980</v>
      </c>
      <c r="D20" s="14">
        <v>1</v>
      </c>
      <c r="E20" s="14">
        <v>0.94</v>
      </c>
    </row>
    <row r="21" spans="3:6" x14ac:dyDescent="0.3">
      <c r="C21" t="s">
        <v>287</v>
      </c>
      <c r="D21" s="14">
        <v>1.1499999999999999</v>
      </c>
      <c r="E21" s="14">
        <v>1.1200000000000001</v>
      </c>
    </row>
    <row r="23" spans="3:6" x14ac:dyDescent="0.3">
      <c r="D23" t="s">
        <v>921</v>
      </c>
    </row>
    <row r="24" spans="3:6" x14ac:dyDescent="0.3">
      <c r="C24" s="14" t="s">
        <v>1279</v>
      </c>
      <c r="D24" t="s">
        <v>1278</v>
      </c>
      <c r="E24" t="s">
        <v>1277</v>
      </c>
      <c r="F24" t="s">
        <v>1061</v>
      </c>
    </row>
    <row r="25" spans="3:6" x14ac:dyDescent="0.3">
      <c r="C25" s="14">
        <v>1</v>
      </c>
      <c r="D25" s="14">
        <v>300</v>
      </c>
      <c r="E25" s="14">
        <v>200</v>
      </c>
      <c r="F25" s="14">
        <v>0.5</v>
      </c>
    </row>
    <row r="26" spans="3:6" x14ac:dyDescent="0.3">
      <c r="C26" s="14">
        <v>2</v>
      </c>
      <c r="D26" s="14">
        <v>75</v>
      </c>
      <c r="E26" s="14">
        <v>25</v>
      </c>
      <c r="F26" s="14">
        <v>0.6</v>
      </c>
    </row>
    <row r="27" spans="3:6" x14ac:dyDescent="0.3">
      <c r="C27" s="14">
        <v>3</v>
      </c>
      <c r="D27" s="14">
        <v>160</v>
      </c>
      <c r="E27" s="14">
        <v>40</v>
      </c>
      <c r="F27" s="14">
        <v>1.2</v>
      </c>
    </row>
    <row r="28" spans="3:6" x14ac:dyDescent="0.3">
      <c r="C28" s="14">
        <v>4</v>
      </c>
      <c r="D28" s="14">
        <v>95</v>
      </c>
      <c r="E28" s="14">
        <v>5</v>
      </c>
      <c r="F28" s="14">
        <v>1.25</v>
      </c>
    </row>
    <row r="29" spans="3:6" x14ac:dyDescent="0.3">
      <c r="C29" s="14">
        <v>5</v>
      </c>
      <c r="D29" s="14">
        <v>100</v>
      </c>
      <c r="E29" s="14">
        <v>0</v>
      </c>
      <c r="F29" s="14">
        <v>3.25</v>
      </c>
    </row>
    <row r="30" spans="3:6" x14ac:dyDescent="0.3">
      <c r="C30" s="14" t="s">
        <v>1276</v>
      </c>
      <c r="D30" s="14">
        <v>730</v>
      </c>
      <c r="E30" s="14">
        <v>270</v>
      </c>
      <c r="F30" s="14"/>
    </row>
    <row r="43" spans="1:1" s="26" customFormat="1" x14ac:dyDescent="0.3">
      <c r="A43" s="26" t="s">
        <v>27</v>
      </c>
    </row>
  </sheetData>
  <mergeCells count="4">
    <mergeCell ref="C10:F10"/>
    <mergeCell ref="C14:G14"/>
    <mergeCell ref="I14:M14"/>
    <mergeCell ref="D17:E17"/>
  </mergeCell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D3AB4-2E6B-49AB-95C3-AE8E3D12C54C}">
  <sheetPr>
    <tabColor theme="9" tint="0.59999389629810485"/>
  </sheetPr>
  <dimension ref="A1:Q49"/>
  <sheetViews>
    <sheetView topLeftCell="B13" workbookViewId="0">
      <selection activeCell="I63" sqref="I63"/>
    </sheetView>
  </sheetViews>
  <sheetFormatPr defaultRowHeight="14.4" x14ac:dyDescent="0.3"/>
  <cols>
    <col min="3" max="3" width="24.109375" customWidth="1"/>
    <col min="4" max="6" width="13" customWidth="1"/>
    <col min="9" max="9" width="14.6640625" customWidth="1"/>
    <col min="10" max="10" width="10.88671875" bestFit="1" customWidth="1"/>
    <col min="11" max="11" width="13.33203125" bestFit="1" customWidth="1"/>
    <col min="12" max="12" width="11.33203125" bestFit="1" customWidth="1"/>
    <col min="13" max="13" width="14.33203125" bestFit="1" customWidth="1"/>
  </cols>
  <sheetData>
    <row r="1" spans="1:13" ht="15" thickBot="1" x14ac:dyDescent="0.35">
      <c r="A1" t="s">
        <v>1283</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row r="10" spans="1:13" ht="15" thickBot="1" x14ac:dyDescent="0.35">
      <c r="C10" s="375" t="s">
        <v>8</v>
      </c>
      <c r="D10" s="376"/>
      <c r="E10" s="376"/>
      <c r="F10" s="377"/>
    </row>
    <row r="13" spans="1:13" ht="15" thickBot="1" x14ac:dyDescent="0.35"/>
    <row r="14" spans="1:13" ht="15" thickBot="1" x14ac:dyDescent="0.35">
      <c r="C14" s="375" t="s">
        <v>4</v>
      </c>
      <c r="D14" s="376"/>
      <c r="E14" s="376"/>
      <c r="F14" s="376"/>
      <c r="G14" s="377"/>
      <c r="I14" s="375" t="s">
        <v>3</v>
      </c>
      <c r="J14" s="376"/>
      <c r="K14" s="376"/>
      <c r="L14" s="376"/>
      <c r="M14" s="377"/>
    </row>
    <row r="15" spans="1:13" s="26" customFormat="1" x14ac:dyDescent="0.3">
      <c r="A15" s="26" t="s">
        <v>54</v>
      </c>
    </row>
    <row r="16" spans="1:13" x14ac:dyDescent="0.3">
      <c r="D16" t="s">
        <v>1278</v>
      </c>
      <c r="E16" t="s">
        <v>1277</v>
      </c>
    </row>
    <row r="17" spans="3:17" x14ac:dyDescent="0.3">
      <c r="C17" t="s">
        <v>1282</v>
      </c>
      <c r="D17" s="425">
        <v>10000</v>
      </c>
      <c r="E17" s="425"/>
      <c r="I17" s="340" t="s">
        <v>52</v>
      </c>
      <c r="J17" s="23" t="s">
        <v>48</v>
      </c>
      <c r="K17" s="23" t="s">
        <v>359</v>
      </c>
    </row>
    <row r="18" spans="3:17" x14ac:dyDescent="0.3">
      <c r="C18" t="s">
        <v>1281</v>
      </c>
      <c r="D18" s="14">
        <v>1</v>
      </c>
      <c r="E18" s="14">
        <v>1.2</v>
      </c>
      <c r="I18" s="84" t="s">
        <v>1568</v>
      </c>
      <c r="J18" s="108">
        <f>D17</f>
        <v>10000</v>
      </c>
      <c r="K18" s="108">
        <f>D17</f>
        <v>10000</v>
      </c>
    </row>
    <row r="19" spans="3:17" x14ac:dyDescent="0.3">
      <c r="C19" t="s">
        <v>1280</v>
      </c>
      <c r="D19" s="14">
        <v>1</v>
      </c>
      <c r="E19" s="14">
        <v>0.85</v>
      </c>
      <c r="I19" s="84" t="s">
        <v>1567</v>
      </c>
      <c r="J19" s="14">
        <f>D18</f>
        <v>1</v>
      </c>
      <c r="K19" s="14">
        <f>E18</f>
        <v>1.2</v>
      </c>
    </row>
    <row r="20" spans="3:17" x14ac:dyDescent="0.3">
      <c r="C20" t="s">
        <v>980</v>
      </c>
      <c r="D20" s="14">
        <v>1</v>
      </c>
      <c r="E20" s="14">
        <v>0.94</v>
      </c>
      <c r="I20" s="84" t="s">
        <v>764</v>
      </c>
      <c r="J20" s="14">
        <f>D19</f>
        <v>1</v>
      </c>
      <c r="K20" s="14">
        <f>E19</f>
        <v>0.85</v>
      </c>
    </row>
    <row r="21" spans="3:17" x14ac:dyDescent="0.3">
      <c r="C21" t="s">
        <v>287</v>
      </c>
      <c r="D21" s="14">
        <v>1.1499999999999999</v>
      </c>
      <c r="E21" s="14">
        <v>1.1200000000000001</v>
      </c>
      <c r="I21" s="84" t="s">
        <v>1566</v>
      </c>
      <c r="J21" s="14">
        <f>D20</f>
        <v>1</v>
      </c>
      <c r="K21" s="14">
        <f>E20</f>
        <v>0.94</v>
      </c>
    </row>
    <row r="22" spans="3:17" x14ac:dyDescent="0.3">
      <c r="I22" s="340" t="s">
        <v>287</v>
      </c>
      <c r="J22" s="23">
        <f>D21</f>
        <v>1.1499999999999999</v>
      </c>
      <c r="K22" s="23">
        <f>E21</f>
        <v>1.1200000000000001</v>
      </c>
    </row>
    <row r="23" spans="3:17" x14ac:dyDescent="0.3">
      <c r="D23" t="s">
        <v>921</v>
      </c>
      <c r="I23" s="84" t="s">
        <v>1565</v>
      </c>
      <c r="J23" s="137">
        <f>PRODUCT(J18:J22)</f>
        <v>11500</v>
      </c>
      <c r="K23" s="137">
        <f>PRODUCT(K18:K22)</f>
        <v>10738.560000000001</v>
      </c>
    </row>
    <row r="24" spans="3:17" x14ac:dyDescent="0.3">
      <c r="C24" s="14" t="s">
        <v>1279</v>
      </c>
      <c r="D24" t="s">
        <v>1278</v>
      </c>
      <c r="E24" t="s">
        <v>1277</v>
      </c>
      <c r="F24" t="s">
        <v>1061</v>
      </c>
    </row>
    <row r="25" spans="3:17" x14ac:dyDescent="0.3">
      <c r="C25" s="14">
        <v>1</v>
      </c>
      <c r="D25" s="14">
        <v>300</v>
      </c>
      <c r="E25" s="14">
        <v>200</v>
      </c>
      <c r="F25" s="14">
        <v>0.5</v>
      </c>
      <c r="I25" s="14"/>
      <c r="J25" s="14" t="s">
        <v>48</v>
      </c>
      <c r="K25" s="14" t="s">
        <v>359</v>
      </c>
      <c r="L25" s="14"/>
      <c r="M25" s="14"/>
    </row>
    <row r="26" spans="3:17" x14ac:dyDescent="0.3">
      <c r="C26" s="14">
        <v>2</v>
      </c>
      <c r="D26" s="14">
        <v>75</v>
      </c>
      <c r="E26" s="14">
        <v>25</v>
      </c>
      <c r="F26" s="14">
        <v>0.6</v>
      </c>
      <c r="I26" s="23" t="s">
        <v>1279</v>
      </c>
      <c r="J26" s="23" t="s">
        <v>1564</v>
      </c>
      <c r="K26" s="23" t="s">
        <v>1564</v>
      </c>
      <c r="L26" s="23" t="s">
        <v>1563</v>
      </c>
      <c r="M26" s="23" t="s">
        <v>1560</v>
      </c>
    </row>
    <row r="27" spans="3:17" x14ac:dyDescent="0.3">
      <c r="C27" s="14">
        <v>3</v>
      </c>
      <c r="D27" s="14">
        <v>160</v>
      </c>
      <c r="E27" s="14">
        <v>40</v>
      </c>
      <c r="F27" s="14">
        <v>1.2</v>
      </c>
      <c r="I27" s="14">
        <v>1</v>
      </c>
      <c r="J27" s="14">
        <f t="shared" ref="J27:K31" si="0">D25</f>
        <v>300</v>
      </c>
      <c r="K27" s="14">
        <f t="shared" si="0"/>
        <v>200</v>
      </c>
      <c r="L27" s="14">
        <f>J27+K27</f>
        <v>500</v>
      </c>
      <c r="M27" s="14">
        <f>F25</f>
        <v>0.5</v>
      </c>
    </row>
    <row r="28" spans="3:17" x14ac:dyDescent="0.3">
      <c r="C28" s="14">
        <v>4</v>
      </c>
      <c r="D28" s="14">
        <v>95</v>
      </c>
      <c r="E28" s="14">
        <v>5</v>
      </c>
      <c r="F28" s="14">
        <v>1.25</v>
      </c>
      <c r="I28" s="14">
        <v>2</v>
      </c>
      <c r="J28" s="14">
        <f t="shared" si="0"/>
        <v>75</v>
      </c>
      <c r="K28" s="14">
        <f t="shared" si="0"/>
        <v>25</v>
      </c>
      <c r="L28" s="14">
        <f>J28+K28</f>
        <v>100</v>
      </c>
      <c r="M28" s="14">
        <f>F26</f>
        <v>0.6</v>
      </c>
    </row>
    <row r="29" spans="3:17" x14ac:dyDescent="0.3">
      <c r="C29" s="14">
        <v>5</v>
      </c>
      <c r="D29" s="14">
        <v>100</v>
      </c>
      <c r="E29" s="14">
        <v>0</v>
      </c>
      <c r="F29" s="14">
        <v>3.25</v>
      </c>
      <c r="I29" s="14">
        <v>3</v>
      </c>
      <c r="J29" s="14">
        <f t="shared" si="0"/>
        <v>160</v>
      </c>
      <c r="K29" s="14">
        <f t="shared" si="0"/>
        <v>40</v>
      </c>
      <c r="L29" s="14">
        <f>J29+K29</f>
        <v>200</v>
      </c>
      <c r="M29" s="14">
        <f>F27</f>
        <v>1.2</v>
      </c>
    </row>
    <row r="30" spans="3:17" x14ac:dyDescent="0.3">
      <c r="C30" s="14" t="s">
        <v>1276</v>
      </c>
      <c r="D30" s="14">
        <v>730</v>
      </c>
      <c r="E30" s="14">
        <v>270</v>
      </c>
      <c r="F30" s="14"/>
      <c r="I30" s="14">
        <v>4</v>
      </c>
      <c r="J30" s="14">
        <f t="shared" si="0"/>
        <v>95</v>
      </c>
      <c r="K30" s="14">
        <f t="shared" si="0"/>
        <v>5</v>
      </c>
      <c r="L30" s="14">
        <f>J30+K30</f>
        <v>100</v>
      </c>
      <c r="M30" s="14">
        <f>F28</f>
        <v>1.25</v>
      </c>
    </row>
    <row r="31" spans="3:17" x14ac:dyDescent="0.3">
      <c r="I31" s="23">
        <v>5</v>
      </c>
      <c r="J31" s="23">
        <f t="shared" si="0"/>
        <v>100</v>
      </c>
      <c r="K31" s="23">
        <f t="shared" si="0"/>
        <v>0</v>
      </c>
      <c r="L31" s="23">
        <f>J31+K31</f>
        <v>100</v>
      </c>
      <c r="M31" s="23">
        <f>F29</f>
        <v>3.25</v>
      </c>
      <c r="N31" s="26"/>
      <c r="O31" s="26"/>
      <c r="P31" s="26"/>
      <c r="Q31" s="26"/>
    </row>
    <row r="32" spans="3:17" x14ac:dyDescent="0.3">
      <c r="I32" s="14"/>
      <c r="J32" s="14">
        <f>SUM(J27:J31)</f>
        <v>730</v>
      </c>
      <c r="K32" s="14">
        <f>SUM(K27:K31)</f>
        <v>270</v>
      </c>
      <c r="L32" s="14">
        <f>SUM(L27:L31)</f>
        <v>1000</v>
      </c>
      <c r="M32" s="204">
        <f>SUMPRODUCT(M27:M31,L27:L31)/L32</f>
        <v>1</v>
      </c>
    </row>
    <row r="34" spans="1:17" x14ac:dyDescent="0.3">
      <c r="I34" s="14" t="s">
        <v>284</v>
      </c>
      <c r="J34" s="14" t="s">
        <v>1562</v>
      </c>
      <c r="K34" s="14" t="s">
        <v>1561</v>
      </c>
      <c r="L34" s="14" t="s">
        <v>1560</v>
      </c>
      <c r="M34" s="14" t="s">
        <v>1559</v>
      </c>
    </row>
    <row r="35" spans="1:17" x14ac:dyDescent="0.3">
      <c r="I35" s="53" t="s">
        <v>48</v>
      </c>
      <c r="J35" s="53">
        <f>J32</f>
        <v>730</v>
      </c>
      <c r="K35" s="339">
        <f>J23</f>
        <v>11500</v>
      </c>
      <c r="L35" s="338">
        <f>SUMPRODUCT(J27:J31,$M$27:$M$31)/J32</f>
        <v>1.138013698630137</v>
      </c>
      <c r="M35" s="195">
        <f>K35*L35</f>
        <v>13087.157534246575</v>
      </c>
      <c r="N35" s="9" t="s">
        <v>1558</v>
      </c>
      <c r="O35" s="9"/>
      <c r="P35" s="9"/>
      <c r="Q35" s="9"/>
    </row>
    <row r="36" spans="1:17" x14ac:dyDescent="0.3">
      <c r="I36" s="23" t="s">
        <v>359</v>
      </c>
      <c r="J36" s="23">
        <f>K32</f>
        <v>270</v>
      </c>
      <c r="K36" s="232">
        <f>K23</f>
        <v>10738.560000000001</v>
      </c>
      <c r="L36" s="327">
        <f>SUMPRODUCT(K27:K31,$M$27:$M$31)/K32</f>
        <v>0.62685185185185188</v>
      </c>
      <c r="M36" s="195">
        <f>K36*L36</f>
        <v>6731.4862222222237</v>
      </c>
      <c r="N36" s="9" t="s">
        <v>1558</v>
      </c>
      <c r="O36" s="9"/>
      <c r="P36" s="9"/>
      <c r="Q36" s="9"/>
    </row>
    <row r="37" spans="1:17" x14ac:dyDescent="0.3">
      <c r="I37" s="14"/>
      <c r="J37" s="14">
        <f>SUM(J35:J36)</f>
        <v>1000</v>
      </c>
      <c r="K37" s="137">
        <f>SUMPRODUCT(K35:K36,$J$35:$J$36)/$J$37</f>
        <v>11294.411199999999</v>
      </c>
      <c r="L37" s="204">
        <f>SUMPRODUCT(L35:L36,$J$35:$J$36)/$J$37</f>
        <v>1</v>
      </c>
      <c r="M37" s="137">
        <f>SUMPRODUCT(M35:M36,$J$35:$J$36)/$J$37</f>
        <v>11371.12628</v>
      </c>
    </row>
    <row r="41" spans="1:17" x14ac:dyDescent="0.3">
      <c r="K41" s="109"/>
      <c r="M41" s="5">
        <f>M37*J37</f>
        <v>11371126.280000001</v>
      </c>
      <c r="N41" s="9" t="s">
        <v>1557</v>
      </c>
      <c r="O41" s="9"/>
      <c r="P41" s="9"/>
    </row>
    <row r="43" spans="1:17" s="26" customFormat="1" x14ac:dyDescent="0.3">
      <c r="A43" s="26" t="s">
        <v>27</v>
      </c>
    </row>
    <row r="46" spans="1:17" x14ac:dyDescent="0.3">
      <c r="I46" t="s">
        <v>1556</v>
      </c>
      <c r="J46" s="109">
        <f>M37</f>
        <v>11371.12628</v>
      </c>
    </row>
    <row r="47" spans="1:17" x14ac:dyDescent="0.3">
      <c r="I47" t="s">
        <v>1555</v>
      </c>
      <c r="J47" s="109">
        <f>K23</f>
        <v>10738.560000000001</v>
      </c>
    </row>
    <row r="48" spans="1:17" x14ac:dyDescent="0.3">
      <c r="I48" t="s">
        <v>1554</v>
      </c>
      <c r="J48" s="109">
        <f>J46-J47</f>
        <v>632.5662799999991</v>
      </c>
    </row>
    <row r="49" spans="9:10" x14ac:dyDescent="0.3">
      <c r="I49" t="s">
        <v>1553</v>
      </c>
      <c r="J49" s="5">
        <f>J48*J37</f>
        <v>632566.2799999991</v>
      </c>
    </row>
  </sheetData>
  <mergeCells count="4">
    <mergeCell ref="C10:F10"/>
    <mergeCell ref="C14:G14"/>
    <mergeCell ref="I14:M14"/>
    <mergeCell ref="D17:E17"/>
  </mergeCell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5A43D-E56A-45CB-B70B-A38DC673DD23}">
  <sheetPr>
    <tabColor theme="1"/>
  </sheetPr>
  <dimension ref="A1"/>
  <sheetViews>
    <sheetView workbookViewId="0">
      <selection activeCell="H41" sqref="H39:H41"/>
    </sheetView>
  </sheetViews>
  <sheetFormatPr defaultRowHeight="14.4" x14ac:dyDescent="0.3"/>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B14C2-5306-4E55-95AE-3CE572D359A3}">
  <sheetPr>
    <tabColor theme="5" tint="0.39997558519241921"/>
  </sheetPr>
  <dimension ref="A1:N51"/>
  <sheetViews>
    <sheetView workbookViewId="0">
      <selection activeCell="G44" sqref="G44"/>
    </sheetView>
  </sheetViews>
  <sheetFormatPr defaultRowHeight="14.4" x14ac:dyDescent="0.3"/>
  <cols>
    <col min="4" max="4" width="18" customWidth="1"/>
    <col min="5" max="5" width="16" customWidth="1"/>
    <col min="6" max="6" width="14.5546875" bestFit="1" customWidth="1"/>
    <col min="7" max="7" width="12" customWidth="1"/>
    <col min="8" max="8" width="13.109375" customWidth="1"/>
    <col min="9" max="9" width="9.6640625" bestFit="1" customWidth="1"/>
    <col min="10" max="10" width="21" bestFit="1" customWidth="1"/>
    <col min="11" max="12" width="14.33203125" customWidth="1"/>
    <col min="14" max="14" width="13.6640625" customWidth="1"/>
    <col min="15" max="15" width="11.6640625" customWidth="1"/>
    <col min="16" max="16" width="11.109375" customWidth="1"/>
    <col min="18" max="18" width="15.88671875" customWidth="1"/>
    <col min="21" max="21" width="11.109375" customWidth="1"/>
  </cols>
  <sheetData>
    <row r="1" spans="1:8" ht="15" thickBot="1" x14ac:dyDescent="0.35">
      <c r="A1" t="s">
        <v>1584</v>
      </c>
    </row>
    <row r="2" spans="1:8" ht="15" thickBot="1" x14ac:dyDescent="0.35">
      <c r="G2" s="11" t="s">
        <v>13</v>
      </c>
      <c r="H2" s="10"/>
    </row>
    <row r="3" spans="1:8" x14ac:dyDescent="0.3">
      <c r="G3" s="9" t="s">
        <v>12</v>
      </c>
      <c r="H3" s="9"/>
    </row>
    <row r="4" spans="1:8" ht="15" thickBot="1" x14ac:dyDescent="0.35">
      <c r="G4" s="8" t="s">
        <v>11</v>
      </c>
      <c r="H4" s="8"/>
    </row>
    <row r="5" spans="1:8" ht="15.6" thickTop="1" thickBot="1" x14ac:dyDescent="0.35">
      <c r="G5" s="7" t="s">
        <v>10</v>
      </c>
      <c r="H5" s="7"/>
    </row>
    <row r="6" spans="1:8" ht="15" thickTop="1" x14ac:dyDescent="0.3">
      <c r="G6" s="6" t="s">
        <v>9</v>
      </c>
      <c r="H6" s="5"/>
    </row>
    <row r="7" spans="1:8" ht="15" thickBot="1" x14ac:dyDescent="0.35"/>
    <row r="8" spans="1:8" ht="15" thickBot="1" x14ac:dyDescent="0.35">
      <c r="D8" s="375" t="s">
        <v>8</v>
      </c>
      <c r="E8" s="377"/>
    </row>
    <row r="9" spans="1:8" s="83" customFormat="1" x14ac:dyDescent="0.3"/>
    <row r="10" spans="1:8" s="83" customFormat="1" x14ac:dyDescent="0.3">
      <c r="D10" s="252">
        <v>0.22</v>
      </c>
      <c r="E10" s="83" t="s">
        <v>1583</v>
      </c>
    </row>
    <row r="11" spans="1:8" s="83" customFormat="1" x14ac:dyDescent="0.3">
      <c r="D11" s="251">
        <v>170</v>
      </c>
      <c r="E11" s="83" t="s">
        <v>1582</v>
      </c>
    </row>
    <row r="12" spans="1:8" s="83" customFormat="1" x14ac:dyDescent="0.3"/>
    <row r="13" spans="1:8" s="83" customFormat="1" ht="15.6" x14ac:dyDescent="0.3">
      <c r="D13" s="360" t="s">
        <v>1572</v>
      </c>
      <c r="E13" s="361" t="s">
        <v>1581</v>
      </c>
    </row>
    <row r="14" spans="1:8" s="83" customFormat="1" ht="15.6" x14ac:dyDescent="0.3">
      <c r="D14" s="360" t="s">
        <v>1580</v>
      </c>
      <c r="E14" s="359">
        <v>0.25</v>
      </c>
    </row>
    <row r="15" spans="1:8" s="83" customFormat="1" ht="15.6" x14ac:dyDescent="0.3">
      <c r="D15" s="360" t="s">
        <v>1579</v>
      </c>
      <c r="E15" s="359">
        <v>0.22500000000000001</v>
      </c>
    </row>
    <row r="16" spans="1:8" s="83" customFormat="1" ht="15.6" x14ac:dyDescent="0.3">
      <c r="D16" s="360" t="s">
        <v>1578</v>
      </c>
      <c r="E16" s="359">
        <v>0.2</v>
      </c>
    </row>
    <row r="17" spans="4:14" s="83" customFormat="1" ht="15.6" x14ac:dyDescent="0.3">
      <c r="D17" s="360" t="s">
        <v>1577</v>
      </c>
      <c r="E17" s="359">
        <v>0.17499999999999999</v>
      </c>
    </row>
    <row r="18" spans="4:14" s="83" customFormat="1" ht="15" thickBot="1" x14ac:dyDescent="0.35"/>
    <row r="19" spans="4:14" ht="15" thickBot="1" x14ac:dyDescent="0.35">
      <c r="D19" s="375" t="s">
        <v>4</v>
      </c>
      <c r="E19" s="376"/>
      <c r="F19" s="376"/>
      <c r="G19" s="376"/>
      <c r="H19" s="377"/>
      <c r="J19" s="375" t="s">
        <v>3</v>
      </c>
      <c r="K19" s="376"/>
      <c r="L19" s="376"/>
      <c r="M19" s="376"/>
      <c r="N19" s="377"/>
    </row>
    <row r="20" spans="4:14" x14ac:dyDescent="0.3">
      <c r="D20" s="112"/>
      <c r="E20" s="112"/>
      <c r="F20" s="112"/>
      <c r="G20" s="112"/>
      <c r="H20" s="112"/>
      <c r="I20" s="112"/>
    </row>
    <row r="22" spans="4:14" ht="15" thickBot="1" x14ac:dyDescent="0.35"/>
    <row r="23" spans="4:14" ht="15" thickBot="1" x14ac:dyDescent="0.35">
      <c r="D23" s="426" t="s">
        <v>1576</v>
      </c>
      <c r="E23" s="427"/>
      <c r="F23" s="427"/>
      <c r="G23" s="428"/>
    </row>
    <row r="24" spans="4:14" ht="15.6" thickTop="1" thickBot="1" x14ac:dyDescent="0.35">
      <c r="D24" s="355" t="s">
        <v>858</v>
      </c>
      <c r="E24" s="354" t="s">
        <v>1569</v>
      </c>
      <c r="F24" s="354" t="s">
        <v>1575</v>
      </c>
      <c r="G24" s="353" t="s">
        <v>459</v>
      </c>
    </row>
    <row r="25" spans="4:14" ht="15.6" thickTop="1" thickBot="1" x14ac:dyDescent="0.35">
      <c r="D25" s="358">
        <v>351</v>
      </c>
      <c r="E25" s="357">
        <v>705</v>
      </c>
      <c r="F25" s="356">
        <v>452</v>
      </c>
      <c r="G25" s="347">
        <v>857</v>
      </c>
    </row>
    <row r="29" spans="4:14" ht="15" thickBot="1" x14ac:dyDescent="0.35"/>
    <row r="30" spans="4:14" ht="15" thickBot="1" x14ac:dyDescent="0.35">
      <c r="D30" s="426" t="s">
        <v>1574</v>
      </c>
      <c r="E30" s="427"/>
      <c r="F30" s="427"/>
      <c r="G30" s="427"/>
      <c r="H30" s="428"/>
    </row>
    <row r="31" spans="4:14" ht="28.8" thickTop="1" thickBot="1" x14ac:dyDescent="0.35">
      <c r="D31" s="355" t="s">
        <v>1573</v>
      </c>
      <c r="E31" s="354" t="s">
        <v>395</v>
      </c>
      <c r="F31" s="354" t="s">
        <v>506</v>
      </c>
      <c r="G31" s="354" t="s">
        <v>1572</v>
      </c>
      <c r="H31" s="353" t="s">
        <v>1571</v>
      </c>
    </row>
    <row r="32" spans="4:14" ht="15.6" thickTop="1" thickBot="1" x14ac:dyDescent="0.35">
      <c r="D32" s="351" t="s">
        <v>69</v>
      </c>
      <c r="E32" s="350" t="s">
        <v>1570</v>
      </c>
      <c r="F32" s="349">
        <v>0</v>
      </c>
      <c r="G32" s="350" t="s">
        <v>46</v>
      </c>
      <c r="H32" s="352"/>
    </row>
    <row r="33" spans="4:8" ht="15" thickBot="1" x14ac:dyDescent="0.35">
      <c r="D33" s="351" t="s">
        <v>69</v>
      </c>
      <c r="E33" s="350" t="s">
        <v>391</v>
      </c>
      <c r="F33" s="349">
        <v>2</v>
      </c>
      <c r="G33" s="348">
        <v>28500</v>
      </c>
      <c r="H33" s="347" t="s">
        <v>858</v>
      </c>
    </row>
    <row r="34" spans="4:8" ht="15" thickBot="1" x14ac:dyDescent="0.35">
      <c r="D34" s="351" t="s">
        <v>69</v>
      </c>
      <c r="E34" s="350" t="s">
        <v>390</v>
      </c>
      <c r="F34" s="349">
        <v>5</v>
      </c>
      <c r="G34" s="348">
        <v>33000</v>
      </c>
      <c r="H34" s="347" t="s">
        <v>1569</v>
      </c>
    </row>
    <row r="35" spans="4:8" ht="15" thickBot="1" x14ac:dyDescent="0.35">
      <c r="D35" s="351" t="s">
        <v>69</v>
      </c>
      <c r="E35" s="350" t="s">
        <v>389</v>
      </c>
      <c r="F35" s="349">
        <v>7</v>
      </c>
      <c r="G35" s="348">
        <v>37500</v>
      </c>
      <c r="H35" s="347" t="s">
        <v>459</v>
      </c>
    </row>
    <row r="36" spans="4:8" ht="15" thickBot="1" x14ac:dyDescent="0.35">
      <c r="D36" s="351" t="s">
        <v>69</v>
      </c>
      <c r="E36" s="350" t="s">
        <v>388</v>
      </c>
      <c r="F36" s="349">
        <v>3</v>
      </c>
      <c r="G36" s="348">
        <v>48400</v>
      </c>
      <c r="H36" s="347" t="s">
        <v>459</v>
      </c>
    </row>
    <row r="37" spans="4:8" ht="15" thickBot="1" x14ac:dyDescent="0.35">
      <c r="D37" s="351" t="s">
        <v>69</v>
      </c>
      <c r="E37" s="350" t="s">
        <v>387</v>
      </c>
      <c r="F37" s="349">
        <v>2</v>
      </c>
      <c r="G37" s="348">
        <v>55900</v>
      </c>
      <c r="H37" s="347" t="s">
        <v>459</v>
      </c>
    </row>
    <row r="38" spans="4:8" ht="15" thickBot="1" x14ac:dyDescent="0.35">
      <c r="D38" s="351" t="s">
        <v>69</v>
      </c>
      <c r="E38" s="350" t="s">
        <v>386</v>
      </c>
      <c r="F38" s="349">
        <v>1</v>
      </c>
      <c r="G38" s="348">
        <v>66700</v>
      </c>
      <c r="H38" s="347" t="s">
        <v>459</v>
      </c>
    </row>
    <row r="39" spans="4:8" ht="15" thickBot="1" x14ac:dyDescent="0.35">
      <c r="D39" s="351" t="s">
        <v>69</v>
      </c>
      <c r="E39" s="350" t="s">
        <v>385</v>
      </c>
      <c r="F39" s="349">
        <v>1</v>
      </c>
      <c r="G39" s="348">
        <v>79300</v>
      </c>
      <c r="H39" s="347" t="s">
        <v>1569</v>
      </c>
    </row>
    <row r="40" spans="4:8" ht="15" thickBot="1" x14ac:dyDescent="0.35">
      <c r="D40" s="344" t="s">
        <v>69</v>
      </c>
      <c r="E40" s="342" t="s">
        <v>384</v>
      </c>
      <c r="F40" s="343">
        <v>1</v>
      </c>
      <c r="G40" s="346">
        <v>91700</v>
      </c>
      <c r="H40" s="345" t="s">
        <v>1569</v>
      </c>
    </row>
    <row r="41" spans="4:8" ht="15.6" thickTop="1" thickBot="1" x14ac:dyDescent="0.35">
      <c r="D41" s="351" t="s">
        <v>1365</v>
      </c>
      <c r="E41" s="350" t="s">
        <v>1570</v>
      </c>
      <c r="F41" s="349">
        <v>1</v>
      </c>
      <c r="G41" s="348">
        <v>22000</v>
      </c>
      <c r="H41" s="347" t="s">
        <v>858</v>
      </c>
    </row>
    <row r="42" spans="4:8" ht="15" thickBot="1" x14ac:dyDescent="0.35">
      <c r="D42" s="351" t="s">
        <v>1365</v>
      </c>
      <c r="E42" s="350" t="s">
        <v>391</v>
      </c>
      <c r="F42" s="349">
        <v>0</v>
      </c>
      <c r="G42" s="348" t="s">
        <v>46</v>
      </c>
      <c r="H42" s="352"/>
    </row>
    <row r="43" spans="4:8" ht="15" thickBot="1" x14ac:dyDescent="0.35">
      <c r="D43" s="351" t="s">
        <v>1365</v>
      </c>
      <c r="E43" s="350" t="s">
        <v>390</v>
      </c>
      <c r="F43" s="349">
        <v>5</v>
      </c>
      <c r="G43" s="348">
        <v>33000</v>
      </c>
      <c r="H43" s="347" t="s">
        <v>1569</v>
      </c>
    </row>
    <row r="44" spans="4:8" ht="15" thickBot="1" x14ac:dyDescent="0.35">
      <c r="D44" s="351" t="s">
        <v>1365</v>
      </c>
      <c r="E44" s="350" t="s">
        <v>389</v>
      </c>
      <c r="F44" s="349">
        <v>6</v>
      </c>
      <c r="G44" s="348">
        <v>37000</v>
      </c>
      <c r="H44" s="347" t="s">
        <v>459</v>
      </c>
    </row>
    <row r="45" spans="4:8" ht="15" thickBot="1" x14ac:dyDescent="0.35">
      <c r="D45" s="351" t="s">
        <v>1365</v>
      </c>
      <c r="E45" s="350" t="s">
        <v>388</v>
      </c>
      <c r="F45" s="349">
        <v>6</v>
      </c>
      <c r="G45" s="348">
        <v>46750</v>
      </c>
      <c r="H45" s="347" t="s">
        <v>459</v>
      </c>
    </row>
    <row r="46" spans="4:8" ht="15" thickBot="1" x14ac:dyDescent="0.35">
      <c r="D46" s="351" t="s">
        <v>1365</v>
      </c>
      <c r="E46" s="350" t="s">
        <v>387</v>
      </c>
      <c r="F46" s="349">
        <v>1</v>
      </c>
      <c r="G46" s="348">
        <v>55400</v>
      </c>
      <c r="H46" s="347" t="s">
        <v>459</v>
      </c>
    </row>
    <row r="47" spans="4:8" ht="15" thickBot="1" x14ac:dyDescent="0.35">
      <c r="D47" s="351" t="s">
        <v>1365</v>
      </c>
      <c r="E47" s="350" t="s">
        <v>386</v>
      </c>
      <c r="F47" s="349">
        <v>2</v>
      </c>
      <c r="G47" s="348">
        <v>67600</v>
      </c>
      <c r="H47" s="347" t="s">
        <v>459</v>
      </c>
    </row>
    <row r="48" spans="4:8" ht="15" thickBot="1" x14ac:dyDescent="0.35">
      <c r="D48" s="351" t="s">
        <v>1365</v>
      </c>
      <c r="E48" s="350" t="s">
        <v>385</v>
      </c>
      <c r="F48" s="349">
        <v>1</v>
      </c>
      <c r="G48" s="348">
        <v>78250</v>
      </c>
      <c r="H48" s="347" t="s">
        <v>1569</v>
      </c>
    </row>
    <row r="49" spans="4:8" ht="15" thickBot="1" x14ac:dyDescent="0.35">
      <c r="D49" s="344" t="s">
        <v>1365</v>
      </c>
      <c r="E49" s="342" t="s">
        <v>384</v>
      </c>
      <c r="F49" s="343">
        <v>1</v>
      </c>
      <c r="G49" s="346">
        <v>90500</v>
      </c>
      <c r="H49" s="345" t="s">
        <v>1569</v>
      </c>
    </row>
    <row r="50" spans="4:8" ht="15.6" thickTop="1" thickBot="1" x14ac:dyDescent="0.35">
      <c r="D50" s="344"/>
      <c r="E50" s="342" t="s">
        <v>247</v>
      </c>
      <c r="F50" s="343">
        <v>45</v>
      </c>
      <c r="G50" s="342"/>
      <c r="H50" s="341"/>
    </row>
    <row r="51" spans="4:8" ht="15" thickTop="1" x14ac:dyDescent="0.3"/>
  </sheetData>
  <mergeCells count="5">
    <mergeCell ref="D8:E8"/>
    <mergeCell ref="D19:H19"/>
    <mergeCell ref="J19:N19"/>
    <mergeCell ref="D23:G23"/>
    <mergeCell ref="D30:H30"/>
  </mergeCells>
  <pageMargins left="0.7" right="0.7" top="0.75" bottom="0.75" header="0.3" footer="0.3"/>
  <pageSetup orientation="portrait" r:id="rId1"/>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2112F-69DA-4F87-AE0E-3EA7BF0E0DF6}">
  <sheetPr>
    <tabColor theme="9" tint="0.59999389629810485"/>
  </sheetPr>
  <dimension ref="A1:T54"/>
  <sheetViews>
    <sheetView workbookViewId="0">
      <selection sqref="A1:XFD1048576"/>
    </sheetView>
  </sheetViews>
  <sheetFormatPr defaultRowHeight="14.4" x14ac:dyDescent="0.3"/>
  <cols>
    <col min="4" max="4" width="18" customWidth="1"/>
    <col min="5" max="5" width="16" customWidth="1"/>
    <col min="6" max="6" width="14.5546875" bestFit="1" customWidth="1"/>
    <col min="7" max="7" width="12" customWidth="1"/>
    <col min="8" max="8" width="13.109375" customWidth="1"/>
    <col min="9" max="9" width="9.6640625" bestFit="1" customWidth="1"/>
    <col min="10" max="10" width="21" bestFit="1" customWidth="1"/>
    <col min="11" max="12" width="14.33203125" customWidth="1"/>
    <col min="14" max="14" width="13.6640625" customWidth="1"/>
    <col min="15" max="15" width="11.6640625" customWidth="1"/>
    <col min="16" max="16" width="11.109375" customWidth="1"/>
    <col min="18" max="18" width="15.88671875" customWidth="1"/>
    <col min="21" max="21" width="11.109375" customWidth="1"/>
  </cols>
  <sheetData>
    <row r="1" spans="1:8" ht="15" thickBot="1" x14ac:dyDescent="0.35">
      <c r="A1" t="s">
        <v>1584</v>
      </c>
    </row>
    <row r="2" spans="1:8" ht="15" thickBot="1" x14ac:dyDescent="0.35">
      <c r="G2" s="11" t="s">
        <v>13</v>
      </c>
      <c r="H2" s="10"/>
    </row>
    <row r="3" spans="1:8" x14ac:dyDescent="0.3">
      <c r="G3" s="9" t="s">
        <v>12</v>
      </c>
      <c r="H3" s="9"/>
    </row>
    <row r="4" spans="1:8" ht="15" thickBot="1" x14ac:dyDescent="0.35">
      <c r="G4" s="8" t="s">
        <v>11</v>
      </c>
      <c r="H4" s="8"/>
    </row>
    <row r="5" spans="1:8" ht="15.6" thickTop="1" thickBot="1" x14ac:dyDescent="0.35">
      <c r="G5" s="7" t="s">
        <v>10</v>
      </c>
      <c r="H5" s="7"/>
    </row>
    <row r="6" spans="1:8" ht="15" thickTop="1" x14ac:dyDescent="0.3">
      <c r="G6" s="6" t="s">
        <v>9</v>
      </c>
      <c r="H6" s="5"/>
    </row>
    <row r="7" spans="1:8" ht="15" thickBot="1" x14ac:dyDescent="0.35"/>
    <row r="8" spans="1:8" ht="15" thickBot="1" x14ac:dyDescent="0.35">
      <c r="D8" s="375" t="s">
        <v>8</v>
      </c>
      <c r="E8" s="377"/>
    </row>
    <row r="9" spans="1:8" s="83" customFormat="1" x14ac:dyDescent="0.3"/>
    <row r="10" spans="1:8" s="83" customFormat="1" x14ac:dyDescent="0.3">
      <c r="D10" s="252">
        <v>0.22</v>
      </c>
      <c r="E10" s="83" t="s">
        <v>1583</v>
      </c>
    </row>
    <row r="11" spans="1:8" s="83" customFormat="1" x14ac:dyDescent="0.3">
      <c r="D11" s="251">
        <v>170</v>
      </c>
      <c r="E11" s="83" t="s">
        <v>1582</v>
      </c>
    </row>
    <row r="12" spans="1:8" s="83" customFormat="1" x14ac:dyDescent="0.3"/>
    <row r="13" spans="1:8" s="83" customFormat="1" ht="15.6" x14ac:dyDescent="0.3">
      <c r="D13" s="360" t="s">
        <v>1572</v>
      </c>
      <c r="E13" s="361" t="s">
        <v>1581</v>
      </c>
    </row>
    <row r="14" spans="1:8" s="83" customFormat="1" ht="15.6" x14ac:dyDescent="0.3">
      <c r="D14" s="360" t="s">
        <v>1580</v>
      </c>
      <c r="E14" s="359">
        <v>0.25</v>
      </c>
    </row>
    <row r="15" spans="1:8" s="83" customFormat="1" ht="15.6" x14ac:dyDescent="0.3">
      <c r="D15" s="360" t="s">
        <v>1579</v>
      </c>
      <c r="E15" s="359">
        <v>0.22500000000000001</v>
      </c>
    </row>
    <row r="16" spans="1:8" s="83" customFormat="1" ht="15.6" x14ac:dyDescent="0.3">
      <c r="D16" s="360" t="s">
        <v>1578</v>
      </c>
      <c r="E16" s="359">
        <v>0.2</v>
      </c>
    </row>
    <row r="17" spans="4:18" s="83" customFormat="1" ht="15.6" x14ac:dyDescent="0.3">
      <c r="D17" s="360" t="s">
        <v>1577</v>
      </c>
      <c r="E17" s="359">
        <v>0.17499999999999999</v>
      </c>
    </row>
    <row r="18" spans="4:18" s="83" customFormat="1" ht="15" thickBot="1" x14ac:dyDescent="0.35"/>
    <row r="19" spans="4:18" ht="15" thickBot="1" x14ac:dyDescent="0.35">
      <c r="D19" s="375" t="s">
        <v>4</v>
      </c>
      <c r="E19" s="376"/>
      <c r="F19" s="376"/>
      <c r="G19" s="376"/>
      <c r="H19" s="377"/>
      <c r="J19" s="375" t="s">
        <v>3</v>
      </c>
      <c r="K19" s="376"/>
      <c r="L19" s="376"/>
      <c r="M19" s="376"/>
      <c r="N19" s="377"/>
    </row>
    <row r="20" spans="4:18" x14ac:dyDescent="0.3">
      <c r="D20" s="112"/>
      <c r="E20" s="112"/>
      <c r="F20" s="112"/>
      <c r="G20" s="112"/>
      <c r="H20" s="112"/>
      <c r="I20" s="112"/>
    </row>
    <row r="21" spans="4:18" x14ac:dyDescent="0.3">
      <c r="J21" s="83" t="str">
        <f t="shared" ref="J21:K25" si="0">D13</f>
        <v>Annual Salary</v>
      </c>
      <c r="K21" s="83" t="str">
        <f t="shared" si="0"/>
        <v>Employer Contribution</v>
      </c>
      <c r="L21" t="s">
        <v>87</v>
      </c>
      <c r="M21" t="str">
        <f>K21</f>
        <v>Employer Contribution</v>
      </c>
    </row>
    <row r="22" spans="4:18" ht="15" thickBot="1" x14ac:dyDescent="0.35">
      <c r="J22" s="83" t="str">
        <f t="shared" si="0"/>
        <v>&lt;$35,000</v>
      </c>
      <c r="K22" s="362">
        <f t="shared" si="0"/>
        <v>0.25</v>
      </c>
      <c r="L22">
        <v>1</v>
      </c>
      <c r="M22" s="362">
        <f>K22</f>
        <v>0.25</v>
      </c>
    </row>
    <row r="23" spans="4:18" ht="15" thickBot="1" x14ac:dyDescent="0.35">
      <c r="D23" s="426" t="s">
        <v>1576</v>
      </c>
      <c r="E23" s="427"/>
      <c r="F23" s="427"/>
      <c r="G23" s="428"/>
      <c r="J23" s="83" t="str">
        <f t="shared" si="0"/>
        <v>$35,000 - $50,000</v>
      </c>
      <c r="K23" s="362">
        <f t="shared" si="0"/>
        <v>0.22500000000000001</v>
      </c>
      <c r="L23">
        <v>2</v>
      </c>
      <c r="M23" s="362">
        <f>K23</f>
        <v>0.22500000000000001</v>
      </c>
    </row>
    <row r="24" spans="4:18" ht="15.6" thickTop="1" thickBot="1" x14ac:dyDescent="0.35">
      <c r="D24" s="355" t="s">
        <v>858</v>
      </c>
      <c r="E24" s="354" t="s">
        <v>1569</v>
      </c>
      <c r="F24" s="354" t="s">
        <v>1575</v>
      </c>
      <c r="G24" s="353" t="s">
        <v>459</v>
      </c>
      <c r="J24" s="83" t="str">
        <f t="shared" si="0"/>
        <v>$50,000 - $80,000</v>
      </c>
      <c r="K24" s="362">
        <f t="shared" si="0"/>
        <v>0.2</v>
      </c>
      <c r="L24">
        <v>3</v>
      </c>
      <c r="M24" s="362">
        <f>K24</f>
        <v>0.2</v>
      </c>
    </row>
    <row r="25" spans="4:18" ht="15.6" thickTop="1" thickBot="1" x14ac:dyDescent="0.35">
      <c r="D25" s="358">
        <v>351</v>
      </c>
      <c r="E25" s="357">
        <v>705</v>
      </c>
      <c r="F25" s="356">
        <v>452</v>
      </c>
      <c r="G25" s="347">
        <v>857</v>
      </c>
      <c r="J25" s="83" t="str">
        <f t="shared" si="0"/>
        <v>&gt; $80,000</v>
      </c>
      <c r="K25" s="362">
        <f t="shared" si="0"/>
        <v>0.17499999999999999</v>
      </c>
      <c r="L25">
        <v>4</v>
      </c>
      <c r="M25" s="362">
        <f>K25</f>
        <v>0.17499999999999999</v>
      </c>
    </row>
    <row r="26" spans="4:18" x14ac:dyDescent="0.3">
      <c r="J26" s="83"/>
      <c r="K26" s="83"/>
    </row>
    <row r="29" spans="4:18" ht="15" thickBot="1" x14ac:dyDescent="0.35"/>
    <row r="30" spans="4:18" ht="15" thickBot="1" x14ac:dyDescent="0.35">
      <c r="D30" s="426" t="s">
        <v>1574</v>
      </c>
      <c r="E30" s="427"/>
      <c r="F30" s="427"/>
      <c r="G30" s="427"/>
      <c r="H30" s="428"/>
    </row>
    <row r="31" spans="4:18" ht="42.6" thickTop="1" thickBot="1" x14ac:dyDescent="0.35">
      <c r="D31" s="355" t="s">
        <v>1573</v>
      </c>
      <c r="E31" s="354" t="s">
        <v>395</v>
      </c>
      <c r="F31" s="354" t="s">
        <v>506</v>
      </c>
      <c r="G31" s="354" t="s">
        <v>1572</v>
      </c>
      <c r="H31" s="353" t="s">
        <v>1571</v>
      </c>
      <c r="J31" s="363" t="s">
        <v>87</v>
      </c>
      <c r="K31" s="363" t="s">
        <v>1517</v>
      </c>
      <c r="L31" s="363" t="s">
        <v>1663</v>
      </c>
      <c r="M31" s="363" t="s">
        <v>1661</v>
      </c>
      <c r="N31" s="363"/>
      <c r="O31" s="97" t="str">
        <f>K21</f>
        <v>Employer Contribution</v>
      </c>
      <c r="P31" s="363" t="s">
        <v>1662</v>
      </c>
      <c r="Q31" s="363" t="s">
        <v>1661</v>
      </c>
      <c r="R31" s="363" t="s">
        <v>1660</v>
      </c>
    </row>
    <row r="32" spans="4:18" ht="15.6" thickTop="1" thickBot="1" x14ac:dyDescent="0.35">
      <c r="D32" s="351" t="s">
        <v>69</v>
      </c>
      <c r="E32" s="350" t="s">
        <v>1570</v>
      </c>
      <c r="F32" s="349">
        <v>0</v>
      </c>
      <c r="G32" s="350" t="s">
        <v>46</v>
      </c>
      <c r="H32" s="352"/>
    </row>
    <row r="33" spans="4:17" ht="15" thickBot="1" x14ac:dyDescent="0.35">
      <c r="D33" s="351" t="s">
        <v>69</v>
      </c>
      <c r="E33" s="350" t="s">
        <v>391</v>
      </c>
      <c r="F33" s="349">
        <v>2</v>
      </c>
      <c r="G33" s="348">
        <v>28500</v>
      </c>
      <c r="H33" s="347" t="s">
        <v>858</v>
      </c>
      <c r="J33" s="81">
        <v>1</v>
      </c>
      <c r="K33" s="251">
        <f t="shared" ref="K33:K41" si="1">HLOOKUP(H33,$D$24:$G$25,2,0)</f>
        <v>351</v>
      </c>
      <c r="L33" s="251">
        <f t="shared" ref="L33:L41" si="2">K33*$D$10</f>
        <v>77.22</v>
      </c>
      <c r="M33" s="109">
        <f t="shared" ref="M33:M41" si="3">(K33-L33)-(K33-$D$11)</f>
        <v>92.779999999999973</v>
      </c>
      <c r="O33" s="362">
        <f t="shared" ref="O33:O41" si="4">VLOOKUP(J33,$L$22:$M$25,2,0)</f>
        <v>0.25</v>
      </c>
      <c r="P33" s="251">
        <f t="shared" ref="P33:P41" si="5">O33*K33</f>
        <v>87.75</v>
      </c>
      <c r="Q33" s="109">
        <f t="shared" ref="Q33:Q41" si="6">(K33-P33)-(K33-$D$11)</f>
        <v>82.25</v>
      </c>
    </row>
    <row r="34" spans="4:17" ht="15" thickBot="1" x14ac:dyDescent="0.35">
      <c r="D34" s="351" t="s">
        <v>69</v>
      </c>
      <c r="E34" s="350" t="s">
        <v>390</v>
      </c>
      <c r="F34" s="349">
        <v>5</v>
      </c>
      <c r="G34" s="348">
        <v>33000</v>
      </c>
      <c r="H34" s="347" t="s">
        <v>1569</v>
      </c>
      <c r="J34" s="81">
        <v>1</v>
      </c>
      <c r="K34" s="251">
        <f t="shared" si="1"/>
        <v>705</v>
      </c>
      <c r="L34" s="251">
        <f t="shared" si="2"/>
        <v>155.1</v>
      </c>
      <c r="M34" s="109">
        <f t="shared" si="3"/>
        <v>14.899999999999977</v>
      </c>
      <c r="O34" s="362">
        <f t="shared" si="4"/>
        <v>0.25</v>
      </c>
      <c r="P34" s="251">
        <f t="shared" si="5"/>
        <v>176.25</v>
      </c>
      <c r="Q34" s="109">
        <f t="shared" si="6"/>
        <v>-6.25</v>
      </c>
    </row>
    <row r="35" spans="4:17" ht="15" thickBot="1" x14ac:dyDescent="0.35">
      <c r="D35" s="351" t="s">
        <v>69</v>
      </c>
      <c r="E35" s="350" t="s">
        <v>389</v>
      </c>
      <c r="F35" s="349">
        <v>7</v>
      </c>
      <c r="G35" s="348">
        <v>37500</v>
      </c>
      <c r="H35" s="347" t="s">
        <v>459</v>
      </c>
      <c r="J35" s="81">
        <v>2</v>
      </c>
      <c r="K35" s="251">
        <f t="shared" si="1"/>
        <v>857</v>
      </c>
      <c r="L35" s="251">
        <f t="shared" si="2"/>
        <v>188.54</v>
      </c>
      <c r="M35" s="109">
        <f t="shared" si="3"/>
        <v>-18.539999999999964</v>
      </c>
      <c r="O35" s="362">
        <f t="shared" si="4"/>
        <v>0.22500000000000001</v>
      </c>
      <c r="P35" s="251">
        <f t="shared" si="5"/>
        <v>192.82500000000002</v>
      </c>
      <c r="Q35" s="109">
        <f t="shared" si="6"/>
        <v>-22.825000000000045</v>
      </c>
    </row>
    <row r="36" spans="4:17" ht="15" thickBot="1" x14ac:dyDescent="0.35">
      <c r="D36" s="351" t="s">
        <v>69</v>
      </c>
      <c r="E36" s="350" t="s">
        <v>388</v>
      </c>
      <c r="F36" s="349">
        <v>3</v>
      </c>
      <c r="G36" s="348">
        <v>48400</v>
      </c>
      <c r="H36" s="347" t="s">
        <v>459</v>
      </c>
      <c r="J36" s="81">
        <v>2</v>
      </c>
      <c r="K36" s="251">
        <f t="shared" si="1"/>
        <v>857</v>
      </c>
      <c r="L36" s="251">
        <f t="shared" si="2"/>
        <v>188.54</v>
      </c>
      <c r="M36" s="109">
        <f t="shared" si="3"/>
        <v>-18.539999999999964</v>
      </c>
      <c r="O36" s="362">
        <f t="shared" si="4"/>
        <v>0.22500000000000001</v>
      </c>
      <c r="P36" s="251">
        <f t="shared" si="5"/>
        <v>192.82500000000002</v>
      </c>
      <c r="Q36" s="109">
        <f t="shared" si="6"/>
        <v>-22.825000000000045</v>
      </c>
    </row>
    <row r="37" spans="4:17" ht="15" thickBot="1" x14ac:dyDescent="0.35">
      <c r="D37" s="351" t="s">
        <v>69</v>
      </c>
      <c r="E37" s="350" t="s">
        <v>387</v>
      </c>
      <c r="F37" s="349">
        <v>2</v>
      </c>
      <c r="G37" s="348">
        <v>55900</v>
      </c>
      <c r="H37" s="347" t="s">
        <v>459</v>
      </c>
      <c r="J37" s="81">
        <v>3</v>
      </c>
      <c r="K37" s="251">
        <f t="shared" si="1"/>
        <v>857</v>
      </c>
      <c r="L37" s="251">
        <f t="shared" si="2"/>
        <v>188.54</v>
      </c>
      <c r="M37" s="109">
        <f t="shared" si="3"/>
        <v>-18.539999999999964</v>
      </c>
      <c r="O37" s="362">
        <f t="shared" si="4"/>
        <v>0.2</v>
      </c>
      <c r="P37" s="251">
        <f t="shared" si="5"/>
        <v>171.4</v>
      </c>
      <c r="Q37" s="109">
        <f t="shared" si="6"/>
        <v>-1.3999999999999773</v>
      </c>
    </row>
    <row r="38" spans="4:17" ht="15" thickBot="1" x14ac:dyDescent="0.35">
      <c r="D38" s="351" t="s">
        <v>69</v>
      </c>
      <c r="E38" s="350" t="s">
        <v>386</v>
      </c>
      <c r="F38" s="349">
        <v>1</v>
      </c>
      <c r="G38" s="348">
        <v>66700</v>
      </c>
      <c r="H38" s="347" t="s">
        <v>459</v>
      </c>
      <c r="J38" s="81">
        <v>3</v>
      </c>
      <c r="K38" s="251">
        <f t="shared" si="1"/>
        <v>857</v>
      </c>
      <c r="L38" s="251">
        <f t="shared" si="2"/>
        <v>188.54</v>
      </c>
      <c r="M38" s="109">
        <f t="shared" si="3"/>
        <v>-18.539999999999964</v>
      </c>
      <c r="O38" s="362">
        <f t="shared" si="4"/>
        <v>0.2</v>
      </c>
      <c r="P38" s="251">
        <f t="shared" si="5"/>
        <v>171.4</v>
      </c>
      <c r="Q38" s="109">
        <f t="shared" si="6"/>
        <v>-1.3999999999999773</v>
      </c>
    </row>
    <row r="39" spans="4:17" ht="15" thickBot="1" x14ac:dyDescent="0.35">
      <c r="D39" s="351" t="s">
        <v>69</v>
      </c>
      <c r="E39" s="350" t="s">
        <v>385</v>
      </c>
      <c r="F39" s="349">
        <v>1</v>
      </c>
      <c r="G39" s="348">
        <v>79300</v>
      </c>
      <c r="H39" s="347" t="s">
        <v>1569</v>
      </c>
      <c r="J39" s="81">
        <v>3</v>
      </c>
      <c r="K39" s="251">
        <f t="shared" si="1"/>
        <v>705</v>
      </c>
      <c r="L39" s="251">
        <f t="shared" si="2"/>
        <v>155.1</v>
      </c>
      <c r="M39" s="109">
        <f t="shared" si="3"/>
        <v>14.899999999999977</v>
      </c>
      <c r="O39" s="362">
        <f t="shared" si="4"/>
        <v>0.2</v>
      </c>
      <c r="P39" s="251">
        <f t="shared" si="5"/>
        <v>141</v>
      </c>
      <c r="Q39" s="109">
        <f t="shared" si="6"/>
        <v>29</v>
      </c>
    </row>
    <row r="40" spans="4:17" ht="15" thickBot="1" x14ac:dyDescent="0.35">
      <c r="D40" s="344" t="s">
        <v>69</v>
      </c>
      <c r="E40" s="342" t="s">
        <v>384</v>
      </c>
      <c r="F40" s="343">
        <v>1</v>
      </c>
      <c r="G40" s="346">
        <v>91700</v>
      </c>
      <c r="H40" s="345" t="s">
        <v>1569</v>
      </c>
      <c r="J40" s="81">
        <v>4</v>
      </c>
      <c r="K40" s="251">
        <f t="shared" si="1"/>
        <v>705</v>
      </c>
      <c r="L40" s="251">
        <f t="shared" si="2"/>
        <v>155.1</v>
      </c>
      <c r="M40" s="109">
        <f t="shared" si="3"/>
        <v>14.899999999999977</v>
      </c>
      <c r="O40" s="362">
        <f t="shared" si="4"/>
        <v>0.17499999999999999</v>
      </c>
      <c r="P40" s="251">
        <f t="shared" si="5"/>
        <v>123.37499999999999</v>
      </c>
      <c r="Q40" s="109">
        <f t="shared" si="6"/>
        <v>46.625</v>
      </c>
    </row>
    <row r="41" spans="4:17" ht="15.6" thickTop="1" thickBot="1" x14ac:dyDescent="0.35">
      <c r="D41" s="351" t="s">
        <v>1365</v>
      </c>
      <c r="E41" s="350" t="s">
        <v>1570</v>
      </c>
      <c r="F41" s="349">
        <v>1</v>
      </c>
      <c r="G41" s="348">
        <v>22000</v>
      </c>
      <c r="H41" s="347" t="s">
        <v>858</v>
      </c>
      <c r="J41" s="81">
        <v>1</v>
      </c>
      <c r="K41" s="251">
        <f t="shared" si="1"/>
        <v>351</v>
      </c>
      <c r="L41" s="251">
        <f t="shared" si="2"/>
        <v>77.22</v>
      </c>
      <c r="M41" s="109">
        <f t="shared" si="3"/>
        <v>92.779999999999973</v>
      </c>
      <c r="O41" s="362">
        <f t="shared" si="4"/>
        <v>0.25</v>
      </c>
      <c r="P41" s="251">
        <f t="shared" si="5"/>
        <v>87.75</v>
      </c>
      <c r="Q41" s="109">
        <f t="shared" si="6"/>
        <v>82.25</v>
      </c>
    </row>
    <row r="42" spans="4:17" ht="15" thickBot="1" x14ac:dyDescent="0.35">
      <c r="D42" s="351" t="s">
        <v>1365</v>
      </c>
      <c r="E42" s="350" t="s">
        <v>391</v>
      </c>
      <c r="F42" s="349">
        <v>0</v>
      </c>
      <c r="G42" s="348" t="s">
        <v>46</v>
      </c>
      <c r="H42" s="352"/>
      <c r="J42" s="81"/>
      <c r="K42" s="251"/>
      <c r="L42" s="251"/>
      <c r="M42" s="109"/>
      <c r="O42" s="362"/>
      <c r="P42" s="251"/>
      <c r="Q42" s="109"/>
    </row>
    <row r="43" spans="4:17" ht="15" thickBot="1" x14ac:dyDescent="0.35">
      <c r="D43" s="351" t="s">
        <v>1365</v>
      </c>
      <c r="E43" s="350" t="s">
        <v>390</v>
      </c>
      <c r="F43" s="349">
        <v>5</v>
      </c>
      <c r="G43" s="348">
        <v>33000</v>
      </c>
      <c r="H43" s="347" t="s">
        <v>1569</v>
      </c>
      <c r="J43" s="81">
        <v>1</v>
      </c>
      <c r="K43" s="251">
        <f t="shared" ref="K43:K49" si="7">HLOOKUP(H43,$D$24:$G$25,2,0)</f>
        <v>705</v>
      </c>
      <c r="L43" s="251">
        <f t="shared" ref="L43:L49" si="8">K43*$D$10</f>
        <v>155.1</v>
      </c>
      <c r="M43" s="109">
        <f t="shared" ref="M43:M49" si="9">(K43-L43)-(K43-$D$11)</f>
        <v>14.899999999999977</v>
      </c>
      <c r="O43" s="362">
        <f t="shared" ref="O43:O49" si="10">VLOOKUP(J43,$L$22:$M$25,2,0)</f>
        <v>0.25</v>
      </c>
      <c r="P43" s="251">
        <f t="shared" ref="P43:P49" si="11">O43*K43</f>
        <v>176.25</v>
      </c>
      <c r="Q43" s="109">
        <f t="shared" ref="Q43:Q49" si="12">(K43-P43)-(K43-$D$11)</f>
        <v>-6.25</v>
      </c>
    </row>
    <row r="44" spans="4:17" ht="15" thickBot="1" x14ac:dyDescent="0.35">
      <c r="D44" s="351" t="s">
        <v>1365</v>
      </c>
      <c r="E44" s="350" t="s">
        <v>389</v>
      </c>
      <c r="F44" s="349">
        <v>6</v>
      </c>
      <c r="G44" s="348">
        <v>37000</v>
      </c>
      <c r="H44" s="347" t="s">
        <v>459</v>
      </c>
      <c r="J44" s="81">
        <v>2</v>
      </c>
      <c r="K44" s="251">
        <f t="shared" si="7"/>
        <v>857</v>
      </c>
      <c r="L44" s="251">
        <f t="shared" si="8"/>
        <v>188.54</v>
      </c>
      <c r="M44" s="109">
        <f t="shared" si="9"/>
        <v>-18.539999999999964</v>
      </c>
      <c r="O44" s="362">
        <f t="shared" si="10"/>
        <v>0.22500000000000001</v>
      </c>
      <c r="P44" s="251">
        <f t="shared" si="11"/>
        <v>192.82500000000002</v>
      </c>
      <c r="Q44" s="109">
        <f t="shared" si="12"/>
        <v>-22.825000000000045</v>
      </c>
    </row>
    <row r="45" spans="4:17" ht="15" thickBot="1" x14ac:dyDescent="0.35">
      <c r="D45" s="351" t="s">
        <v>1365</v>
      </c>
      <c r="E45" s="350" t="s">
        <v>388</v>
      </c>
      <c r="F45" s="349">
        <v>6</v>
      </c>
      <c r="G45" s="348">
        <v>46750</v>
      </c>
      <c r="H45" s="347" t="s">
        <v>459</v>
      </c>
      <c r="J45" s="81">
        <v>2</v>
      </c>
      <c r="K45" s="251">
        <f t="shared" si="7"/>
        <v>857</v>
      </c>
      <c r="L45" s="251">
        <f t="shared" si="8"/>
        <v>188.54</v>
      </c>
      <c r="M45" s="109">
        <f t="shared" si="9"/>
        <v>-18.539999999999964</v>
      </c>
      <c r="O45" s="362">
        <f t="shared" si="10"/>
        <v>0.22500000000000001</v>
      </c>
      <c r="P45" s="251">
        <f t="shared" si="11"/>
        <v>192.82500000000002</v>
      </c>
      <c r="Q45" s="109">
        <f t="shared" si="12"/>
        <v>-22.825000000000045</v>
      </c>
    </row>
    <row r="46" spans="4:17" ht="15" thickBot="1" x14ac:dyDescent="0.35">
      <c r="D46" s="351" t="s">
        <v>1365</v>
      </c>
      <c r="E46" s="350" t="s">
        <v>387</v>
      </c>
      <c r="F46" s="349">
        <v>1</v>
      </c>
      <c r="G46" s="348">
        <v>55400</v>
      </c>
      <c r="H46" s="347" t="s">
        <v>459</v>
      </c>
      <c r="J46" s="81">
        <v>3</v>
      </c>
      <c r="K46" s="251">
        <f t="shared" si="7"/>
        <v>857</v>
      </c>
      <c r="L46" s="251">
        <f t="shared" si="8"/>
        <v>188.54</v>
      </c>
      <c r="M46" s="109">
        <f t="shared" si="9"/>
        <v>-18.539999999999964</v>
      </c>
      <c r="O46" s="362">
        <f t="shared" si="10"/>
        <v>0.2</v>
      </c>
      <c r="P46" s="251">
        <f t="shared" si="11"/>
        <v>171.4</v>
      </c>
      <c r="Q46" s="109">
        <f t="shared" si="12"/>
        <v>-1.3999999999999773</v>
      </c>
    </row>
    <row r="47" spans="4:17" ht="15" thickBot="1" x14ac:dyDescent="0.35">
      <c r="D47" s="351" t="s">
        <v>1365</v>
      </c>
      <c r="E47" s="350" t="s">
        <v>386</v>
      </c>
      <c r="F47" s="349">
        <v>2</v>
      </c>
      <c r="G47" s="348">
        <v>67600</v>
      </c>
      <c r="H47" s="347" t="s">
        <v>459</v>
      </c>
      <c r="J47" s="81">
        <v>3</v>
      </c>
      <c r="K47" s="251">
        <f t="shared" si="7"/>
        <v>857</v>
      </c>
      <c r="L47" s="251">
        <f t="shared" si="8"/>
        <v>188.54</v>
      </c>
      <c r="M47" s="109">
        <f t="shared" si="9"/>
        <v>-18.539999999999964</v>
      </c>
      <c r="O47" s="362">
        <f t="shared" si="10"/>
        <v>0.2</v>
      </c>
      <c r="P47" s="251">
        <f t="shared" si="11"/>
        <v>171.4</v>
      </c>
      <c r="Q47" s="109">
        <f t="shared" si="12"/>
        <v>-1.3999999999999773</v>
      </c>
    </row>
    <row r="48" spans="4:17" ht="15" thickBot="1" x14ac:dyDescent="0.35">
      <c r="D48" s="351" t="s">
        <v>1365</v>
      </c>
      <c r="E48" s="350" t="s">
        <v>385</v>
      </c>
      <c r="F48" s="349">
        <v>1</v>
      </c>
      <c r="G48" s="348">
        <v>78250</v>
      </c>
      <c r="H48" s="347" t="s">
        <v>1569</v>
      </c>
      <c r="J48" s="81">
        <v>3</v>
      </c>
      <c r="K48" s="251">
        <f t="shared" si="7"/>
        <v>705</v>
      </c>
      <c r="L48" s="251">
        <f t="shared" si="8"/>
        <v>155.1</v>
      </c>
      <c r="M48" s="109">
        <f t="shared" si="9"/>
        <v>14.899999999999977</v>
      </c>
      <c r="O48" s="362">
        <f t="shared" si="10"/>
        <v>0.2</v>
      </c>
      <c r="P48" s="251">
        <f t="shared" si="11"/>
        <v>141</v>
      </c>
      <c r="Q48" s="109">
        <f t="shared" si="12"/>
        <v>29</v>
      </c>
    </row>
    <row r="49" spans="4:20" ht="15" thickBot="1" x14ac:dyDescent="0.35">
      <c r="D49" s="344" t="s">
        <v>1365</v>
      </c>
      <c r="E49" s="342" t="s">
        <v>384</v>
      </c>
      <c r="F49" s="343">
        <v>1</v>
      </c>
      <c r="G49" s="346">
        <v>90500</v>
      </c>
      <c r="H49" s="345" t="s">
        <v>1569</v>
      </c>
      <c r="J49">
        <v>4</v>
      </c>
      <c r="K49" s="251">
        <f t="shared" si="7"/>
        <v>705</v>
      </c>
      <c r="L49" s="251">
        <f t="shared" si="8"/>
        <v>155.1</v>
      </c>
      <c r="M49" s="109">
        <f t="shared" si="9"/>
        <v>14.899999999999977</v>
      </c>
      <c r="O49" s="362">
        <f t="shared" si="10"/>
        <v>0.17499999999999999</v>
      </c>
      <c r="P49">
        <f t="shared" si="11"/>
        <v>123.37499999999999</v>
      </c>
      <c r="Q49" s="109">
        <f t="shared" si="12"/>
        <v>46.625</v>
      </c>
    </row>
    <row r="50" spans="4:20" ht="15.6" thickTop="1" thickBot="1" x14ac:dyDescent="0.35">
      <c r="D50" s="344"/>
      <c r="E50" s="342" t="s">
        <v>247</v>
      </c>
      <c r="F50" s="343">
        <v>45</v>
      </c>
      <c r="G50" s="342"/>
      <c r="H50" s="341"/>
    </row>
    <row r="51" spans="4:20" ht="15" thickTop="1" x14ac:dyDescent="0.3">
      <c r="K51" s="251">
        <f>SUMPRODUCT(K32:K49,F32:F49)</f>
        <v>34919</v>
      </c>
      <c r="L51" s="251">
        <f>SUMPRODUCT(L32:L49,$F$32:$F$49)</f>
        <v>7682.1799999999994</v>
      </c>
      <c r="M51" s="251">
        <f>SUMPRODUCT(M32:M49,$F$32:$F$49)</f>
        <v>-32.179999999999382</v>
      </c>
      <c r="P51" s="251">
        <f>SUMPRODUCT(P32:P49,$F$32:$F$49)</f>
        <v>7825.05</v>
      </c>
      <c r="Q51" s="251">
        <f>SUMPRODUCT(Q32:Q49,$F$32:$F$49)</f>
        <v>-175.05000000000086</v>
      </c>
    </row>
    <row r="52" spans="4:20" x14ac:dyDescent="0.3">
      <c r="L52" s="57">
        <f>L51/K51</f>
        <v>0.21999999999999997</v>
      </c>
      <c r="P52" s="57">
        <f>P51/K51</f>
        <v>0.22409146882785877</v>
      </c>
    </row>
    <row r="54" spans="4:20" x14ac:dyDescent="0.3">
      <c r="K54" s="251">
        <f>K51/$F$50</f>
        <v>775.97777777777776</v>
      </c>
      <c r="L54" s="251">
        <f>L51/$F$50</f>
        <v>170.7151111111111</v>
      </c>
      <c r="M54" s="5">
        <f>M51/$F$50</f>
        <v>-0.71511111111109738</v>
      </c>
      <c r="P54" s="251">
        <f>P51/$F$50</f>
        <v>173.89000000000001</v>
      </c>
      <c r="Q54" s="5">
        <f>Q51/$F$50</f>
        <v>-3.8900000000000192</v>
      </c>
      <c r="S54" s="109">
        <f>D11</f>
        <v>170</v>
      </c>
      <c r="T54" s="9" t="s">
        <v>1659</v>
      </c>
    </row>
  </sheetData>
  <mergeCells count="5">
    <mergeCell ref="D8:E8"/>
    <mergeCell ref="D19:H19"/>
    <mergeCell ref="J19:N19"/>
    <mergeCell ref="D23:G23"/>
    <mergeCell ref="D30:H30"/>
  </mergeCells>
  <pageMargins left="0.7" right="0.7" top="0.75" bottom="0.75" header="0.3" footer="0.3"/>
  <pageSetup orientation="portrait" r:id="rId1"/>
  <legacy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91D8A-039D-46F8-B46F-DAEDEC14119B}">
  <sheetPr>
    <tabColor theme="5" tint="0.39997558519241921"/>
  </sheetPr>
  <dimension ref="A1:H35"/>
  <sheetViews>
    <sheetView workbookViewId="0">
      <selection activeCell="G44" sqref="G44"/>
    </sheetView>
  </sheetViews>
  <sheetFormatPr defaultRowHeight="14.4" x14ac:dyDescent="0.3"/>
  <cols>
    <col min="3" max="3" width="12.33203125" customWidth="1"/>
    <col min="4" max="5" width="17.33203125" customWidth="1"/>
    <col min="6" max="6" width="12.33203125" customWidth="1"/>
    <col min="8" max="8" width="11.33203125" bestFit="1" customWidth="1"/>
    <col min="11" max="11" width="11.109375" customWidth="1"/>
    <col min="13" max="13" width="11.5546875" customWidth="1"/>
  </cols>
  <sheetData>
    <row r="1" spans="1:8" ht="15" thickBot="1" x14ac:dyDescent="0.35">
      <c r="A1" t="s">
        <v>1599</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3" spans="1:8" x14ac:dyDescent="0.3">
      <c r="D13" t="s">
        <v>1598</v>
      </c>
    </row>
    <row r="14" spans="1:8" x14ac:dyDescent="0.3">
      <c r="D14" t="s">
        <v>1597</v>
      </c>
    </row>
    <row r="15" spans="1:8" x14ac:dyDescent="0.3">
      <c r="D15" t="s">
        <v>1596</v>
      </c>
    </row>
    <row r="17" spans="3:7" ht="15" thickBot="1" x14ac:dyDescent="0.35"/>
    <row r="18" spans="3:7" ht="15" thickBot="1" x14ac:dyDescent="0.35">
      <c r="C18" s="375" t="s">
        <v>4</v>
      </c>
      <c r="D18" s="376"/>
      <c r="E18" s="376"/>
      <c r="F18" s="376"/>
      <c r="G18" s="377"/>
    </row>
    <row r="21" spans="3:7" x14ac:dyDescent="0.3">
      <c r="C21" t="s">
        <v>1595</v>
      </c>
      <c r="D21" t="s">
        <v>1594</v>
      </c>
      <c r="E21" t="s">
        <v>1593</v>
      </c>
      <c r="F21" t="s">
        <v>1592</v>
      </c>
    </row>
    <row r="22" spans="3:7" x14ac:dyDescent="0.3">
      <c r="C22" t="s">
        <v>1588</v>
      </c>
      <c r="D22" t="s">
        <v>1041</v>
      </c>
      <c r="E22" t="s">
        <v>1591</v>
      </c>
      <c r="F22">
        <v>300</v>
      </c>
    </row>
    <row r="23" spans="3:7" x14ac:dyDescent="0.3">
      <c r="C23" t="s">
        <v>1588</v>
      </c>
      <c r="D23" t="s">
        <v>1041</v>
      </c>
      <c r="E23" t="s">
        <v>1590</v>
      </c>
      <c r="F23">
        <v>100</v>
      </c>
    </row>
    <row r="24" spans="3:7" x14ac:dyDescent="0.3">
      <c r="C24" t="s">
        <v>1586</v>
      </c>
      <c r="D24" t="s">
        <v>1041</v>
      </c>
      <c r="E24" t="s">
        <v>1585</v>
      </c>
      <c r="F24">
        <v>150</v>
      </c>
    </row>
    <row r="25" spans="3:7" x14ac:dyDescent="0.3">
      <c r="C25" t="s">
        <v>1586</v>
      </c>
      <c r="D25" t="s">
        <v>1040</v>
      </c>
      <c r="E25" t="s">
        <v>1591</v>
      </c>
      <c r="F25">
        <v>200</v>
      </c>
    </row>
    <row r="26" spans="3:7" x14ac:dyDescent="0.3">
      <c r="C26" t="s">
        <v>1586</v>
      </c>
      <c r="D26" t="s">
        <v>1039</v>
      </c>
      <c r="E26" t="s">
        <v>1585</v>
      </c>
      <c r="F26">
        <v>150</v>
      </c>
    </row>
    <row r="27" spans="3:7" x14ac:dyDescent="0.3">
      <c r="C27" t="s">
        <v>1586</v>
      </c>
      <c r="D27" t="s">
        <v>1038</v>
      </c>
      <c r="E27" t="s">
        <v>1590</v>
      </c>
      <c r="F27">
        <v>100</v>
      </c>
    </row>
    <row r="28" spans="3:7" x14ac:dyDescent="0.3">
      <c r="C28" t="s">
        <v>1586</v>
      </c>
      <c r="D28" t="s">
        <v>1037</v>
      </c>
      <c r="E28" t="s">
        <v>1585</v>
      </c>
      <c r="F28">
        <v>150</v>
      </c>
    </row>
    <row r="29" spans="3:7" x14ac:dyDescent="0.3">
      <c r="C29" t="s">
        <v>1586</v>
      </c>
      <c r="D29" t="s">
        <v>1036</v>
      </c>
      <c r="E29" t="s">
        <v>1589</v>
      </c>
      <c r="F29">
        <v>2350</v>
      </c>
    </row>
    <row r="30" spans="3:7" x14ac:dyDescent="0.3">
      <c r="C30" t="s">
        <v>1586</v>
      </c>
      <c r="D30" t="s">
        <v>1035</v>
      </c>
      <c r="E30" t="s">
        <v>1585</v>
      </c>
      <c r="F30">
        <v>150</v>
      </c>
    </row>
    <row r="31" spans="3:7" x14ac:dyDescent="0.3">
      <c r="C31" t="s">
        <v>1586</v>
      </c>
      <c r="D31" t="s">
        <v>1033</v>
      </c>
      <c r="E31" t="s">
        <v>1585</v>
      </c>
      <c r="F31">
        <v>150</v>
      </c>
    </row>
    <row r="32" spans="3:7" x14ac:dyDescent="0.3">
      <c r="C32" t="s">
        <v>1588</v>
      </c>
      <c r="D32" t="s">
        <v>1032</v>
      </c>
      <c r="E32" t="s">
        <v>1587</v>
      </c>
      <c r="F32">
        <v>150</v>
      </c>
    </row>
    <row r="33" spans="3:7" x14ac:dyDescent="0.3">
      <c r="C33" t="s">
        <v>1586</v>
      </c>
      <c r="D33" t="s">
        <v>1031</v>
      </c>
      <c r="E33" t="s">
        <v>1585</v>
      </c>
      <c r="F33">
        <v>150</v>
      </c>
    </row>
    <row r="34" spans="3:7" ht="15" thickBot="1" x14ac:dyDescent="0.35"/>
    <row r="35" spans="3:7" ht="15" thickBot="1" x14ac:dyDescent="0.35">
      <c r="C35" s="375" t="s">
        <v>3</v>
      </c>
      <c r="D35" s="376"/>
      <c r="E35" s="376"/>
      <c r="F35" s="376"/>
      <c r="G35" s="377"/>
    </row>
  </sheetData>
  <mergeCells count="3">
    <mergeCell ref="C10:F10"/>
    <mergeCell ref="C18:G18"/>
    <mergeCell ref="C35:G35"/>
  </mergeCells>
  <pageMargins left="0.7" right="0.7" top="0.75" bottom="0.75" header="0.3" footer="0.3"/>
  <pageSetup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91B54-8A61-4D4B-8818-C2913C7A47E4}">
  <sheetPr>
    <tabColor theme="9" tint="0.59999389629810485"/>
  </sheetPr>
  <dimension ref="A1:U79"/>
  <sheetViews>
    <sheetView workbookViewId="0">
      <selection sqref="A1:XFD1048576"/>
    </sheetView>
  </sheetViews>
  <sheetFormatPr defaultRowHeight="14.4" x14ac:dyDescent="0.3"/>
  <cols>
    <col min="3" max="3" width="12.33203125" customWidth="1"/>
    <col min="4" max="5" width="17.33203125" customWidth="1"/>
    <col min="6" max="6" width="12.33203125" customWidth="1"/>
    <col min="8" max="8" width="11.33203125" bestFit="1" customWidth="1"/>
    <col min="11" max="11" width="11.109375" customWidth="1"/>
    <col min="13" max="13" width="11.5546875" customWidth="1"/>
  </cols>
  <sheetData>
    <row r="1" spans="1:8" ht="15" thickBot="1" x14ac:dyDescent="0.35">
      <c r="A1" t="s">
        <v>1599</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3" spans="1:8" x14ac:dyDescent="0.3">
      <c r="D13" t="s">
        <v>1598</v>
      </c>
    </row>
    <row r="14" spans="1:8" x14ac:dyDescent="0.3">
      <c r="D14" t="s">
        <v>1597</v>
      </c>
    </row>
    <row r="15" spans="1:8" x14ac:dyDescent="0.3">
      <c r="D15" t="s">
        <v>1596</v>
      </c>
    </row>
    <row r="17" spans="3:7" ht="15" thickBot="1" x14ac:dyDescent="0.35"/>
    <row r="18" spans="3:7" ht="15" thickBot="1" x14ac:dyDescent="0.35">
      <c r="C18" s="375" t="s">
        <v>4</v>
      </c>
      <c r="D18" s="376"/>
      <c r="E18" s="376"/>
      <c r="F18" s="376"/>
      <c r="G18" s="377"/>
    </row>
    <row r="21" spans="3:7" x14ac:dyDescent="0.3">
      <c r="C21" t="s">
        <v>1595</v>
      </c>
      <c r="D21" t="s">
        <v>1594</v>
      </c>
      <c r="E21" t="s">
        <v>1593</v>
      </c>
      <c r="F21" t="s">
        <v>1592</v>
      </c>
    </row>
    <row r="22" spans="3:7" x14ac:dyDescent="0.3">
      <c r="C22" t="s">
        <v>1588</v>
      </c>
      <c r="D22" t="s">
        <v>1041</v>
      </c>
      <c r="E22" t="s">
        <v>1591</v>
      </c>
      <c r="F22">
        <v>300</v>
      </c>
    </row>
    <row r="23" spans="3:7" x14ac:dyDescent="0.3">
      <c r="C23" t="s">
        <v>1588</v>
      </c>
      <c r="D23" t="s">
        <v>1041</v>
      </c>
      <c r="E23" t="s">
        <v>1590</v>
      </c>
      <c r="F23">
        <v>100</v>
      </c>
    </row>
    <row r="24" spans="3:7" x14ac:dyDescent="0.3">
      <c r="C24" t="s">
        <v>1586</v>
      </c>
      <c r="D24" t="s">
        <v>1041</v>
      </c>
      <c r="E24" t="s">
        <v>1585</v>
      </c>
      <c r="F24">
        <v>150</v>
      </c>
    </row>
    <row r="25" spans="3:7" x14ac:dyDescent="0.3">
      <c r="C25" t="s">
        <v>1586</v>
      </c>
      <c r="D25" t="s">
        <v>1040</v>
      </c>
      <c r="E25" t="s">
        <v>1591</v>
      </c>
      <c r="F25">
        <v>200</v>
      </c>
    </row>
    <row r="26" spans="3:7" x14ac:dyDescent="0.3">
      <c r="C26" t="s">
        <v>1586</v>
      </c>
      <c r="D26" t="s">
        <v>1039</v>
      </c>
      <c r="E26" t="s">
        <v>1585</v>
      </c>
      <c r="F26">
        <v>150</v>
      </c>
    </row>
    <row r="27" spans="3:7" x14ac:dyDescent="0.3">
      <c r="C27" t="s">
        <v>1586</v>
      </c>
      <c r="D27" t="s">
        <v>1038</v>
      </c>
      <c r="E27" t="s">
        <v>1590</v>
      </c>
      <c r="F27">
        <v>100</v>
      </c>
    </row>
    <row r="28" spans="3:7" x14ac:dyDescent="0.3">
      <c r="C28" t="s">
        <v>1586</v>
      </c>
      <c r="D28" t="s">
        <v>1037</v>
      </c>
      <c r="E28" t="s">
        <v>1585</v>
      </c>
      <c r="F28">
        <v>150</v>
      </c>
    </row>
    <row r="29" spans="3:7" x14ac:dyDescent="0.3">
      <c r="C29" t="s">
        <v>1586</v>
      </c>
      <c r="D29" t="s">
        <v>1036</v>
      </c>
      <c r="E29" t="s">
        <v>1589</v>
      </c>
      <c r="F29">
        <v>2350</v>
      </c>
    </row>
    <row r="30" spans="3:7" x14ac:dyDescent="0.3">
      <c r="C30" t="s">
        <v>1586</v>
      </c>
      <c r="D30" t="s">
        <v>1035</v>
      </c>
      <c r="E30" t="s">
        <v>1585</v>
      </c>
      <c r="F30">
        <v>150</v>
      </c>
    </row>
    <row r="31" spans="3:7" x14ac:dyDescent="0.3">
      <c r="C31" t="s">
        <v>1586</v>
      </c>
      <c r="D31" t="s">
        <v>1033</v>
      </c>
      <c r="E31" t="s">
        <v>1585</v>
      </c>
      <c r="F31">
        <v>150</v>
      </c>
    </row>
    <row r="32" spans="3:7" x14ac:dyDescent="0.3">
      <c r="C32" t="s">
        <v>1588</v>
      </c>
      <c r="D32" t="s">
        <v>1032</v>
      </c>
      <c r="E32" t="s">
        <v>1587</v>
      </c>
      <c r="F32">
        <v>150</v>
      </c>
    </row>
    <row r="33" spans="3:19" x14ac:dyDescent="0.3">
      <c r="C33" t="s">
        <v>1586</v>
      </c>
      <c r="D33" t="s">
        <v>1031</v>
      </c>
      <c r="E33" t="s">
        <v>1585</v>
      </c>
      <c r="F33">
        <v>150</v>
      </c>
    </row>
    <row r="34" spans="3:19" ht="15" thickBot="1" x14ac:dyDescent="0.35"/>
    <row r="35" spans="3:19" ht="15" thickBot="1" x14ac:dyDescent="0.35">
      <c r="C35" s="375" t="s">
        <v>3</v>
      </c>
      <c r="D35" s="376"/>
      <c r="E35" s="376"/>
      <c r="F35" s="376"/>
      <c r="G35" s="377"/>
    </row>
    <row r="37" spans="3:19" x14ac:dyDescent="0.3">
      <c r="C37" t="s">
        <v>1684</v>
      </c>
    </row>
    <row r="38" spans="3:19" x14ac:dyDescent="0.3">
      <c r="C38" t="s">
        <v>1683</v>
      </c>
    </row>
    <row r="39" spans="3:19" x14ac:dyDescent="0.3">
      <c r="C39" t="s">
        <v>1682</v>
      </c>
    </row>
    <row r="40" spans="3:19" x14ac:dyDescent="0.3">
      <c r="C40" t="s">
        <v>1681</v>
      </c>
    </row>
    <row r="41" spans="3:19" x14ac:dyDescent="0.3">
      <c r="C41" t="s">
        <v>1680</v>
      </c>
    </row>
    <row r="43" spans="3:19" x14ac:dyDescent="0.3">
      <c r="H43" s="182" t="s">
        <v>1679</v>
      </c>
    </row>
    <row r="45" spans="3:19" x14ac:dyDescent="0.3">
      <c r="H45" s="429" t="s">
        <v>1676</v>
      </c>
      <c r="I45" s="430"/>
      <c r="J45" s="429" t="s">
        <v>1675</v>
      </c>
      <c r="K45" s="430"/>
      <c r="L45" s="429" t="s">
        <v>1674</v>
      </c>
      <c r="M45" s="430"/>
      <c r="N45" s="54"/>
    </row>
    <row r="46" spans="3:19" x14ac:dyDescent="0.3">
      <c r="C46" s="26" t="s">
        <v>1595</v>
      </c>
      <c r="D46" s="26" t="s">
        <v>1594</v>
      </c>
      <c r="E46" s="26" t="s">
        <v>1593</v>
      </c>
      <c r="F46" s="26" t="s">
        <v>1592</v>
      </c>
      <c r="G46" s="26" t="s">
        <v>1673</v>
      </c>
      <c r="H46" s="24" t="s">
        <v>1672</v>
      </c>
      <c r="I46" s="68" t="s">
        <v>1671</v>
      </c>
      <c r="J46" s="24" t="s">
        <v>1672</v>
      </c>
      <c r="K46" s="68" t="s">
        <v>1671</v>
      </c>
      <c r="L46" s="23" t="s">
        <v>1672</v>
      </c>
      <c r="M46" s="68" t="s">
        <v>1671</v>
      </c>
      <c r="N46" s="54"/>
    </row>
    <row r="47" spans="3:19" x14ac:dyDescent="0.3">
      <c r="C47" t="s">
        <v>1588</v>
      </c>
      <c r="D47" t="s">
        <v>1041</v>
      </c>
      <c r="E47" t="s">
        <v>1591</v>
      </c>
      <c r="F47" s="108">
        <f t="shared" ref="F47:F58" si="0">F22</f>
        <v>300</v>
      </c>
      <c r="G47" s="108">
        <f t="shared" ref="G47:G56" si="1">F47-H47</f>
        <v>0</v>
      </c>
      <c r="H47" s="365">
        <f>J47+L47</f>
        <v>300</v>
      </c>
      <c r="I47" s="364">
        <f>K47+M47</f>
        <v>300</v>
      </c>
      <c r="J47" s="365">
        <f>F47</f>
        <v>300</v>
      </c>
      <c r="K47" s="364">
        <f>J47</f>
        <v>300</v>
      </c>
      <c r="L47" s="108"/>
      <c r="M47" s="108">
        <v>0</v>
      </c>
      <c r="N47" s="54"/>
    </row>
    <row r="48" spans="3:19" x14ac:dyDescent="0.3">
      <c r="C48" t="s">
        <v>1588</v>
      </c>
      <c r="D48" t="s">
        <v>1041</v>
      </c>
      <c r="E48" t="s">
        <v>1590</v>
      </c>
      <c r="F48" s="108">
        <f t="shared" si="0"/>
        <v>100</v>
      </c>
      <c r="G48" s="108">
        <f t="shared" si="1"/>
        <v>100</v>
      </c>
      <c r="H48" s="365">
        <f t="shared" ref="H48:H58" si="2">J48+L48</f>
        <v>0</v>
      </c>
      <c r="I48" s="364">
        <f t="shared" ref="I48:I58" si="3">H48+I47</f>
        <v>300</v>
      </c>
      <c r="J48" s="365">
        <v>0</v>
      </c>
      <c r="K48" s="364">
        <f t="shared" ref="K48:K58" si="4">J48+K47</f>
        <v>300</v>
      </c>
      <c r="L48" s="108"/>
      <c r="M48" s="364">
        <f t="shared" ref="M48:M58" si="5">L48+M47</f>
        <v>0</v>
      </c>
      <c r="N48" s="9" t="s">
        <v>1668</v>
      </c>
      <c r="O48" s="9"/>
      <c r="P48" s="9"/>
      <c r="Q48" s="9"/>
      <c r="R48" s="9"/>
      <c r="S48" s="9"/>
    </row>
    <row r="49" spans="3:20" x14ac:dyDescent="0.3">
      <c r="C49" t="s">
        <v>1586</v>
      </c>
      <c r="D49" t="s">
        <v>1041</v>
      </c>
      <c r="E49" t="s">
        <v>1585</v>
      </c>
      <c r="F49" s="108">
        <f t="shared" si="0"/>
        <v>150</v>
      </c>
      <c r="G49" s="108">
        <f t="shared" si="1"/>
        <v>0</v>
      </c>
      <c r="H49" s="365">
        <f t="shared" si="2"/>
        <v>150</v>
      </c>
      <c r="I49" s="364">
        <f t="shared" si="3"/>
        <v>450</v>
      </c>
      <c r="J49" s="365"/>
      <c r="K49" s="364">
        <f t="shared" si="4"/>
        <v>300</v>
      </c>
      <c r="L49" s="108">
        <v>150</v>
      </c>
      <c r="M49" s="364">
        <f t="shared" si="5"/>
        <v>150</v>
      </c>
      <c r="N49" s="54"/>
    </row>
    <row r="50" spans="3:20" x14ac:dyDescent="0.3">
      <c r="C50" t="s">
        <v>1586</v>
      </c>
      <c r="D50" t="s">
        <v>1040</v>
      </c>
      <c r="E50" t="s">
        <v>1591</v>
      </c>
      <c r="F50" s="108">
        <f t="shared" si="0"/>
        <v>200</v>
      </c>
      <c r="G50" s="108">
        <f t="shared" si="1"/>
        <v>0</v>
      </c>
      <c r="H50" s="365">
        <f t="shared" si="2"/>
        <v>200</v>
      </c>
      <c r="I50" s="364">
        <f t="shared" si="3"/>
        <v>650</v>
      </c>
      <c r="J50" s="365"/>
      <c r="K50" s="364">
        <f t="shared" si="4"/>
        <v>300</v>
      </c>
      <c r="L50" s="108">
        <v>200</v>
      </c>
      <c r="M50" s="364">
        <f t="shared" si="5"/>
        <v>350</v>
      </c>
      <c r="N50" s="54"/>
    </row>
    <row r="51" spans="3:20" x14ac:dyDescent="0.3">
      <c r="C51" t="s">
        <v>1586</v>
      </c>
      <c r="D51" t="s">
        <v>1039</v>
      </c>
      <c r="E51" t="s">
        <v>1585</v>
      </c>
      <c r="F51" s="108">
        <f t="shared" si="0"/>
        <v>150</v>
      </c>
      <c r="G51" s="108">
        <f t="shared" si="1"/>
        <v>0</v>
      </c>
      <c r="H51" s="365">
        <f t="shared" si="2"/>
        <v>150</v>
      </c>
      <c r="I51" s="364">
        <f t="shared" si="3"/>
        <v>800</v>
      </c>
      <c r="J51" s="365"/>
      <c r="K51" s="364">
        <f t="shared" si="4"/>
        <v>300</v>
      </c>
      <c r="L51" s="108">
        <v>150</v>
      </c>
      <c r="M51" s="364">
        <f t="shared" si="5"/>
        <v>500</v>
      </c>
      <c r="N51" s="54"/>
    </row>
    <row r="52" spans="3:20" x14ac:dyDescent="0.3">
      <c r="C52" t="s">
        <v>1586</v>
      </c>
      <c r="D52" t="s">
        <v>1038</v>
      </c>
      <c r="E52" t="s">
        <v>1590</v>
      </c>
      <c r="F52" s="108">
        <f t="shared" si="0"/>
        <v>100</v>
      </c>
      <c r="G52" s="108">
        <f t="shared" si="1"/>
        <v>100</v>
      </c>
      <c r="H52" s="365">
        <f t="shared" si="2"/>
        <v>0</v>
      </c>
      <c r="I52" s="364">
        <f t="shared" si="3"/>
        <v>800</v>
      </c>
      <c r="J52" s="365"/>
      <c r="K52" s="364">
        <f t="shared" si="4"/>
        <v>300</v>
      </c>
      <c r="L52" s="108">
        <v>0</v>
      </c>
      <c r="M52" s="364">
        <f t="shared" si="5"/>
        <v>500</v>
      </c>
      <c r="N52" s="9" t="s">
        <v>1668</v>
      </c>
      <c r="O52" s="9"/>
      <c r="P52" s="9"/>
      <c r="Q52" s="9"/>
      <c r="R52" s="9"/>
      <c r="S52" s="9"/>
    </row>
    <row r="53" spans="3:20" x14ac:dyDescent="0.3">
      <c r="C53" t="s">
        <v>1586</v>
      </c>
      <c r="D53" t="s">
        <v>1037</v>
      </c>
      <c r="E53" t="s">
        <v>1585</v>
      </c>
      <c r="F53" s="108">
        <f t="shared" si="0"/>
        <v>150</v>
      </c>
      <c r="G53" s="108">
        <f t="shared" si="1"/>
        <v>0</v>
      </c>
      <c r="H53" s="365">
        <f t="shared" si="2"/>
        <v>150</v>
      </c>
      <c r="I53" s="364">
        <f t="shared" si="3"/>
        <v>950</v>
      </c>
      <c r="J53" s="365"/>
      <c r="K53" s="364">
        <f t="shared" si="4"/>
        <v>300</v>
      </c>
      <c r="L53" s="108">
        <v>150</v>
      </c>
      <c r="M53" s="364">
        <f t="shared" si="5"/>
        <v>650</v>
      </c>
      <c r="N53" s="54"/>
    </row>
    <row r="54" spans="3:20" x14ac:dyDescent="0.3">
      <c r="C54" t="s">
        <v>1586</v>
      </c>
      <c r="D54" t="s">
        <v>1036</v>
      </c>
      <c r="E54" t="s">
        <v>1589</v>
      </c>
      <c r="F54" s="108">
        <f t="shared" si="0"/>
        <v>2350</v>
      </c>
      <c r="G54" s="108">
        <f t="shared" si="1"/>
        <v>0</v>
      </c>
      <c r="H54" s="365">
        <f t="shared" si="2"/>
        <v>2350</v>
      </c>
      <c r="I54" s="364">
        <f t="shared" si="3"/>
        <v>3300</v>
      </c>
      <c r="J54" s="365"/>
      <c r="K54" s="364">
        <f t="shared" si="4"/>
        <v>300</v>
      </c>
      <c r="L54" s="108">
        <v>2350</v>
      </c>
      <c r="M54" s="364">
        <f t="shared" si="5"/>
        <v>3000</v>
      </c>
      <c r="N54" s="9" t="s">
        <v>1678</v>
      </c>
      <c r="O54" s="9"/>
      <c r="P54" s="9"/>
      <c r="Q54" s="9"/>
      <c r="R54" s="9"/>
      <c r="S54" s="9"/>
      <c r="T54" s="9"/>
    </row>
    <row r="55" spans="3:20" x14ac:dyDescent="0.3">
      <c r="C55" t="s">
        <v>1586</v>
      </c>
      <c r="D55" t="s">
        <v>1035</v>
      </c>
      <c r="E55" t="s">
        <v>1585</v>
      </c>
      <c r="F55" s="108">
        <f t="shared" si="0"/>
        <v>150</v>
      </c>
      <c r="G55" s="108">
        <f t="shared" si="1"/>
        <v>150</v>
      </c>
      <c r="H55" s="365">
        <f t="shared" si="2"/>
        <v>0</v>
      </c>
      <c r="I55" s="364">
        <f t="shared" si="3"/>
        <v>3300</v>
      </c>
      <c r="J55" s="365"/>
      <c r="K55" s="364">
        <f t="shared" si="4"/>
        <v>300</v>
      </c>
      <c r="L55" s="108">
        <v>0</v>
      </c>
      <c r="M55" s="364">
        <f t="shared" si="5"/>
        <v>3000</v>
      </c>
      <c r="N55" s="54"/>
    </row>
    <row r="56" spans="3:20" x14ac:dyDescent="0.3">
      <c r="C56" t="s">
        <v>1586</v>
      </c>
      <c r="D56" t="s">
        <v>1033</v>
      </c>
      <c r="E56" t="s">
        <v>1585</v>
      </c>
      <c r="F56" s="108">
        <f t="shared" si="0"/>
        <v>150</v>
      </c>
      <c r="G56" s="108">
        <f t="shared" si="1"/>
        <v>150</v>
      </c>
      <c r="H56" s="365">
        <f t="shared" si="2"/>
        <v>0</v>
      </c>
      <c r="I56" s="364">
        <f t="shared" si="3"/>
        <v>3300</v>
      </c>
      <c r="J56" s="365"/>
      <c r="K56" s="364">
        <f t="shared" si="4"/>
        <v>300</v>
      </c>
      <c r="L56" s="108">
        <v>0</v>
      </c>
      <c r="M56" s="364">
        <f t="shared" si="5"/>
        <v>3000</v>
      </c>
      <c r="N56" s="54"/>
    </row>
    <row r="57" spans="3:20" x14ac:dyDescent="0.3">
      <c r="C57" t="s">
        <v>1588</v>
      </c>
      <c r="D57" t="s">
        <v>1032</v>
      </c>
      <c r="E57" t="s">
        <v>1587</v>
      </c>
      <c r="F57" s="108">
        <f t="shared" si="0"/>
        <v>150</v>
      </c>
      <c r="G57" s="366">
        <v>0</v>
      </c>
      <c r="H57" s="365">
        <f t="shared" si="2"/>
        <v>0</v>
      </c>
      <c r="I57" s="364">
        <f t="shared" si="3"/>
        <v>3300</v>
      </c>
      <c r="J57" s="365">
        <v>0</v>
      </c>
      <c r="K57" s="364">
        <f t="shared" si="4"/>
        <v>300</v>
      </c>
      <c r="L57" s="108"/>
      <c r="M57" s="364">
        <f t="shared" si="5"/>
        <v>3000</v>
      </c>
      <c r="N57" s="9" t="s">
        <v>1666</v>
      </c>
      <c r="O57" s="9"/>
      <c r="P57" s="9"/>
      <c r="Q57" s="9"/>
      <c r="R57" s="9"/>
    </row>
    <row r="58" spans="3:20" x14ac:dyDescent="0.3">
      <c r="C58" t="s">
        <v>1586</v>
      </c>
      <c r="D58" t="s">
        <v>1031</v>
      </c>
      <c r="E58" t="s">
        <v>1585</v>
      </c>
      <c r="F58" s="108">
        <f t="shared" si="0"/>
        <v>150</v>
      </c>
      <c r="G58" s="108">
        <f>F58-H58</f>
        <v>150</v>
      </c>
      <c r="H58" s="365">
        <f t="shared" si="2"/>
        <v>0</v>
      </c>
      <c r="I58" s="364">
        <f t="shared" si="3"/>
        <v>3300</v>
      </c>
      <c r="J58" s="365"/>
      <c r="K58" s="364">
        <f t="shared" si="4"/>
        <v>300</v>
      </c>
      <c r="L58" s="108">
        <v>0</v>
      </c>
      <c r="M58" s="364">
        <f t="shared" si="5"/>
        <v>3000</v>
      </c>
      <c r="N58" s="54"/>
    </row>
    <row r="59" spans="3:20" x14ac:dyDescent="0.3">
      <c r="F59" s="14"/>
      <c r="G59" s="14"/>
      <c r="H59" s="14"/>
      <c r="I59" s="14"/>
      <c r="J59" s="14"/>
      <c r="K59" s="14"/>
      <c r="L59" s="14"/>
      <c r="M59" s="14"/>
    </row>
    <row r="60" spans="3:20" x14ac:dyDescent="0.3">
      <c r="I60" s="5">
        <f>I58</f>
        <v>3300</v>
      </c>
      <c r="J60" t="s">
        <v>1664</v>
      </c>
    </row>
    <row r="62" spans="3:20" x14ac:dyDescent="0.3">
      <c r="H62" s="182" t="s">
        <v>1677</v>
      </c>
    </row>
    <row r="64" spans="3:20" x14ac:dyDescent="0.3">
      <c r="H64" s="429" t="s">
        <v>1676</v>
      </c>
      <c r="I64" s="430"/>
      <c r="J64" s="429" t="s">
        <v>1675</v>
      </c>
      <c r="K64" s="430"/>
      <c r="L64" s="429" t="s">
        <v>1674</v>
      </c>
      <c r="M64" s="430"/>
    </row>
    <row r="65" spans="3:21" x14ac:dyDescent="0.3">
      <c r="C65" s="26" t="s">
        <v>1595</v>
      </c>
      <c r="D65" s="26" t="s">
        <v>1594</v>
      </c>
      <c r="E65" s="26" t="s">
        <v>1593</v>
      </c>
      <c r="F65" s="26" t="s">
        <v>1592</v>
      </c>
      <c r="G65" s="26" t="s">
        <v>1673</v>
      </c>
      <c r="H65" s="24" t="s">
        <v>1672</v>
      </c>
      <c r="I65" s="68" t="s">
        <v>1671</v>
      </c>
      <c r="J65" s="24" t="s">
        <v>1672</v>
      </c>
      <c r="K65" s="68" t="s">
        <v>1671</v>
      </c>
      <c r="L65" s="23" t="s">
        <v>1672</v>
      </c>
      <c r="M65" s="68" t="s">
        <v>1671</v>
      </c>
    </row>
    <row r="66" spans="3:21" x14ac:dyDescent="0.3">
      <c r="C66" t="s">
        <v>1588</v>
      </c>
      <c r="D66" t="s">
        <v>1041</v>
      </c>
      <c r="E66" t="s">
        <v>1591</v>
      </c>
      <c r="F66" s="108">
        <f t="shared" ref="F66:F77" si="6">F22</f>
        <v>300</v>
      </c>
      <c r="G66" s="108">
        <f t="shared" ref="G66:G75" si="7">F66-H66</f>
        <v>0</v>
      </c>
      <c r="H66" s="365">
        <f>J66+L66</f>
        <v>300</v>
      </c>
      <c r="I66" s="364">
        <f>K66+M66</f>
        <v>300</v>
      </c>
      <c r="J66" s="365">
        <v>300</v>
      </c>
      <c r="K66" s="364">
        <f>J66</f>
        <v>300</v>
      </c>
      <c r="L66" s="108"/>
      <c r="M66" s="367">
        <v>0</v>
      </c>
      <c r="N66" s="9" t="s">
        <v>1670</v>
      </c>
      <c r="O66" s="9"/>
      <c r="P66" s="9"/>
      <c r="Q66" s="9"/>
      <c r="R66" s="9"/>
      <c r="S66" s="9"/>
    </row>
    <row r="67" spans="3:21" x14ac:dyDescent="0.3">
      <c r="C67" t="s">
        <v>1588</v>
      </c>
      <c r="D67" t="s">
        <v>1041</v>
      </c>
      <c r="E67" t="s">
        <v>1590</v>
      </c>
      <c r="F67" s="108">
        <f t="shared" si="6"/>
        <v>100</v>
      </c>
      <c r="G67" s="108">
        <f t="shared" si="7"/>
        <v>100</v>
      </c>
      <c r="H67" s="365">
        <f t="shared" ref="H67:H77" si="8">J67+L67</f>
        <v>0</v>
      </c>
      <c r="I67" s="364">
        <f t="shared" ref="I67:I77" si="9">H67+I66</f>
        <v>300</v>
      </c>
      <c r="J67" s="365">
        <v>0</v>
      </c>
      <c r="K67" s="364">
        <f t="shared" ref="K67:K77" si="10">J67+K66</f>
        <v>300</v>
      </c>
      <c r="L67" s="108"/>
      <c r="M67" s="364">
        <f t="shared" ref="M67:M77" si="11">L67+M66</f>
        <v>0</v>
      </c>
      <c r="N67" s="9" t="s">
        <v>1668</v>
      </c>
      <c r="O67" s="9"/>
      <c r="P67" s="9"/>
      <c r="Q67" s="9"/>
      <c r="R67" s="9"/>
      <c r="S67" s="9"/>
    </row>
    <row r="68" spans="3:21" x14ac:dyDescent="0.3">
      <c r="C68" t="s">
        <v>1586</v>
      </c>
      <c r="D68" t="s">
        <v>1041</v>
      </c>
      <c r="E68" t="s">
        <v>1585</v>
      </c>
      <c r="F68" s="108">
        <f t="shared" si="6"/>
        <v>150</v>
      </c>
      <c r="G68" s="108">
        <f t="shared" si="7"/>
        <v>0</v>
      </c>
      <c r="H68" s="365">
        <f t="shared" si="8"/>
        <v>150</v>
      </c>
      <c r="I68" s="364">
        <f t="shared" si="9"/>
        <v>450</v>
      </c>
      <c r="J68" s="365"/>
      <c r="K68" s="364">
        <f t="shared" si="10"/>
        <v>300</v>
      </c>
      <c r="L68" s="108">
        <v>150</v>
      </c>
      <c r="M68" s="364">
        <f t="shared" si="11"/>
        <v>150</v>
      </c>
      <c r="N68" s="9" t="s">
        <v>1670</v>
      </c>
      <c r="O68" s="9"/>
      <c r="P68" s="9"/>
      <c r="Q68" s="9"/>
      <c r="R68" s="9"/>
      <c r="S68" s="9"/>
    </row>
    <row r="69" spans="3:21" x14ac:dyDescent="0.3">
      <c r="C69" t="s">
        <v>1586</v>
      </c>
      <c r="D69" t="s">
        <v>1040</v>
      </c>
      <c r="E69" t="s">
        <v>1591</v>
      </c>
      <c r="F69" s="108">
        <f t="shared" si="6"/>
        <v>200</v>
      </c>
      <c r="G69" s="108">
        <f t="shared" si="7"/>
        <v>0</v>
      </c>
      <c r="H69" s="365">
        <f t="shared" si="8"/>
        <v>200</v>
      </c>
      <c r="I69" s="364">
        <f t="shared" si="9"/>
        <v>650</v>
      </c>
      <c r="J69" s="365"/>
      <c r="K69" s="364">
        <f t="shared" si="10"/>
        <v>300</v>
      </c>
      <c r="L69" s="108">
        <v>200</v>
      </c>
      <c r="M69" s="364">
        <f t="shared" si="11"/>
        <v>350</v>
      </c>
      <c r="N69" s="9" t="s">
        <v>1670</v>
      </c>
      <c r="O69" s="9"/>
      <c r="P69" s="9"/>
      <c r="Q69" s="9"/>
      <c r="R69" s="9"/>
      <c r="S69" s="9"/>
    </row>
    <row r="70" spans="3:21" x14ac:dyDescent="0.3">
      <c r="C70" t="s">
        <v>1586</v>
      </c>
      <c r="D70" t="s">
        <v>1039</v>
      </c>
      <c r="E70" t="s">
        <v>1585</v>
      </c>
      <c r="F70" s="108">
        <f t="shared" si="6"/>
        <v>150</v>
      </c>
      <c r="G70" s="108">
        <f t="shared" si="7"/>
        <v>0</v>
      </c>
      <c r="H70" s="365">
        <f t="shared" si="8"/>
        <v>150</v>
      </c>
      <c r="I70" s="364">
        <f t="shared" si="9"/>
        <v>800</v>
      </c>
      <c r="J70" s="365"/>
      <c r="K70" s="364">
        <f t="shared" si="10"/>
        <v>300</v>
      </c>
      <c r="L70" s="108">
        <v>150</v>
      </c>
      <c r="M70" s="364">
        <f t="shared" si="11"/>
        <v>500</v>
      </c>
      <c r="N70" s="9" t="s">
        <v>1669</v>
      </c>
      <c r="O70" s="9"/>
      <c r="P70" s="9"/>
      <c r="Q70" s="9"/>
      <c r="R70" s="9"/>
      <c r="S70" s="9"/>
      <c r="T70" s="9"/>
    </row>
    <row r="71" spans="3:21" x14ac:dyDescent="0.3">
      <c r="C71" t="s">
        <v>1586</v>
      </c>
      <c r="D71" t="s">
        <v>1038</v>
      </c>
      <c r="E71" t="s">
        <v>1590</v>
      </c>
      <c r="F71" s="108">
        <f t="shared" si="6"/>
        <v>100</v>
      </c>
      <c r="G71" s="108">
        <f t="shared" si="7"/>
        <v>100</v>
      </c>
      <c r="H71" s="365">
        <f t="shared" si="8"/>
        <v>0</v>
      </c>
      <c r="I71" s="364">
        <f t="shared" si="9"/>
        <v>800</v>
      </c>
      <c r="J71" s="365"/>
      <c r="K71" s="364">
        <f t="shared" si="10"/>
        <v>300</v>
      </c>
      <c r="L71" s="108">
        <v>0</v>
      </c>
      <c r="M71" s="364">
        <f t="shared" si="11"/>
        <v>500</v>
      </c>
      <c r="N71" s="9" t="s">
        <v>1668</v>
      </c>
      <c r="O71" s="9"/>
      <c r="P71" s="9"/>
      <c r="Q71" s="9"/>
      <c r="R71" s="9"/>
      <c r="S71" s="9"/>
    </row>
    <row r="72" spans="3:21" x14ac:dyDescent="0.3">
      <c r="C72" t="s">
        <v>1586</v>
      </c>
      <c r="D72" t="s">
        <v>1037</v>
      </c>
      <c r="E72" t="s">
        <v>1585</v>
      </c>
      <c r="F72" s="108">
        <f t="shared" si="6"/>
        <v>150</v>
      </c>
      <c r="G72" s="108">
        <f t="shared" si="7"/>
        <v>135</v>
      </c>
      <c r="H72" s="365">
        <f t="shared" si="8"/>
        <v>15</v>
      </c>
      <c r="I72" s="364">
        <f t="shared" si="9"/>
        <v>815</v>
      </c>
      <c r="J72" s="365"/>
      <c r="K72" s="364">
        <f t="shared" si="10"/>
        <v>300</v>
      </c>
      <c r="L72" s="108">
        <f>0.1*F72</f>
        <v>15</v>
      </c>
      <c r="M72" s="364">
        <f t="shared" si="11"/>
        <v>515</v>
      </c>
      <c r="N72" s="9" t="s">
        <v>1665</v>
      </c>
      <c r="O72" s="9"/>
      <c r="P72" s="9"/>
    </row>
    <row r="73" spans="3:21" x14ac:dyDescent="0.3">
      <c r="C73" t="s">
        <v>1586</v>
      </c>
      <c r="D73" t="s">
        <v>1036</v>
      </c>
      <c r="E73" t="s">
        <v>1589</v>
      </c>
      <c r="F73" s="108">
        <f t="shared" si="6"/>
        <v>2350</v>
      </c>
      <c r="G73" s="108">
        <f t="shared" si="7"/>
        <v>1980</v>
      </c>
      <c r="H73" s="365">
        <f t="shared" si="8"/>
        <v>370</v>
      </c>
      <c r="I73" s="364">
        <f t="shared" si="9"/>
        <v>1185</v>
      </c>
      <c r="J73" s="365"/>
      <c r="K73" s="364">
        <f t="shared" si="10"/>
        <v>300</v>
      </c>
      <c r="L73" s="108">
        <f>150+(F73-150)*0.1</f>
        <v>370</v>
      </c>
      <c r="M73" s="364">
        <f t="shared" si="11"/>
        <v>885</v>
      </c>
      <c r="N73" s="9" t="s">
        <v>1667</v>
      </c>
      <c r="O73" s="9"/>
      <c r="P73" s="9"/>
      <c r="Q73" s="9"/>
      <c r="R73" s="9"/>
      <c r="S73" s="9"/>
      <c r="T73" s="9"/>
      <c r="U73" s="9"/>
    </row>
    <row r="74" spans="3:21" x14ac:dyDescent="0.3">
      <c r="C74" t="s">
        <v>1586</v>
      </c>
      <c r="D74" t="s">
        <v>1035</v>
      </c>
      <c r="E74" t="s">
        <v>1585</v>
      </c>
      <c r="F74" s="108">
        <f t="shared" si="6"/>
        <v>150</v>
      </c>
      <c r="G74" s="108">
        <f t="shared" si="7"/>
        <v>135</v>
      </c>
      <c r="H74" s="365">
        <f t="shared" si="8"/>
        <v>15</v>
      </c>
      <c r="I74" s="364">
        <f t="shared" si="9"/>
        <v>1200</v>
      </c>
      <c r="J74" s="365"/>
      <c r="K74" s="364">
        <f t="shared" si="10"/>
        <v>300</v>
      </c>
      <c r="L74" s="108">
        <f>0.1*F74</f>
        <v>15</v>
      </c>
      <c r="M74" s="108">
        <f t="shared" si="11"/>
        <v>900</v>
      </c>
      <c r="N74" s="9" t="s">
        <v>1665</v>
      </c>
      <c r="O74" s="9"/>
      <c r="P74" s="9"/>
    </row>
    <row r="75" spans="3:21" x14ac:dyDescent="0.3">
      <c r="C75" t="s">
        <v>1586</v>
      </c>
      <c r="D75" t="s">
        <v>1033</v>
      </c>
      <c r="E75" t="s">
        <v>1585</v>
      </c>
      <c r="F75" s="108">
        <f t="shared" si="6"/>
        <v>150</v>
      </c>
      <c r="G75" s="108">
        <f t="shared" si="7"/>
        <v>135</v>
      </c>
      <c r="H75" s="365">
        <f t="shared" si="8"/>
        <v>15</v>
      </c>
      <c r="I75" s="364">
        <f t="shared" si="9"/>
        <v>1215</v>
      </c>
      <c r="J75" s="365"/>
      <c r="K75" s="364">
        <f t="shared" si="10"/>
        <v>300</v>
      </c>
      <c r="L75" s="108">
        <f>0.1*F75</f>
        <v>15</v>
      </c>
      <c r="M75" s="108">
        <f t="shared" si="11"/>
        <v>915</v>
      </c>
      <c r="N75" s="9" t="s">
        <v>1665</v>
      </c>
      <c r="O75" s="9"/>
      <c r="P75" s="9"/>
    </row>
    <row r="76" spans="3:21" x14ac:dyDescent="0.3">
      <c r="C76" t="s">
        <v>1588</v>
      </c>
      <c r="D76" t="s">
        <v>1032</v>
      </c>
      <c r="E76" t="s">
        <v>1587</v>
      </c>
      <c r="F76" s="108">
        <f t="shared" si="6"/>
        <v>150</v>
      </c>
      <c r="G76" s="366">
        <v>0</v>
      </c>
      <c r="H76" s="365">
        <f t="shared" si="8"/>
        <v>0</v>
      </c>
      <c r="I76" s="364">
        <f t="shared" si="9"/>
        <v>1215</v>
      </c>
      <c r="J76" s="365">
        <v>0</v>
      </c>
      <c r="K76" s="364">
        <f t="shared" si="10"/>
        <v>300</v>
      </c>
      <c r="L76" s="108"/>
      <c r="M76" s="108">
        <f t="shared" si="11"/>
        <v>915</v>
      </c>
      <c r="N76" s="9" t="s">
        <v>1666</v>
      </c>
      <c r="O76" s="9"/>
      <c r="P76" s="9"/>
      <c r="Q76" s="9"/>
      <c r="R76" s="9"/>
    </row>
    <row r="77" spans="3:21" x14ac:dyDescent="0.3">
      <c r="C77" t="s">
        <v>1586</v>
      </c>
      <c r="D77" t="s">
        <v>1031</v>
      </c>
      <c r="E77" t="s">
        <v>1585</v>
      </c>
      <c r="F77" s="108">
        <f t="shared" si="6"/>
        <v>150</v>
      </c>
      <c r="G77" s="108">
        <f>F77-H77</f>
        <v>135</v>
      </c>
      <c r="H77" s="365">
        <f t="shared" si="8"/>
        <v>15</v>
      </c>
      <c r="I77" s="364">
        <f t="shared" si="9"/>
        <v>1230</v>
      </c>
      <c r="J77" s="365"/>
      <c r="K77" s="364">
        <f t="shared" si="10"/>
        <v>300</v>
      </c>
      <c r="L77" s="108">
        <f>0.1*F77</f>
        <v>15</v>
      </c>
      <c r="M77" s="108">
        <f t="shared" si="11"/>
        <v>930</v>
      </c>
      <c r="N77" s="9" t="s">
        <v>1665</v>
      </c>
      <c r="O77" s="9"/>
      <c r="P77" s="9"/>
    </row>
    <row r="79" spans="3:21" x14ac:dyDescent="0.3">
      <c r="I79" s="5">
        <f>I77</f>
        <v>1230</v>
      </c>
      <c r="J79" t="s">
        <v>1664</v>
      </c>
    </row>
  </sheetData>
  <mergeCells count="9">
    <mergeCell ref="H64:I64"/>
    <mergeCell ref="J64:K64"/>
    <mergeCell ref="L64:M64"/>
    <mergeCell ref="C10:F10"/>
    <mergeCell ref="C18:G18"/>
    <mergeCell ref="C35:G35"/>
    <mergeCell ref="H45:I45"/>
    <mergeCell ref="J45:K45"/>
    <mergeCell ref="L45:M45"/>
  </mergeCells>
  <pageMargins left="0.7" right="0.7" top="0.75" bottom="0.7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D0973-9782-4E26-8B1E-A39F87A9E5A0}">
  <sheetPr>
    <tabColor theme="5" tint="0.39997558519241921"/>
  </sheetPr>
  <dimension ref="A1:M72"/>
  <sheetViews>
    <sheetView zoomScaleNormal="100" workbookViewId="0">
      <selection activeCell="G44" sqref="G44"/>
    </sheetView>
  </sheetViews>
  <sheetFormatPr defaultRowHeight="14.4" x14ac:dyDescent="0.3"/>
  <cols>
    <col min="3" max="3" width="23.21875" customWidth="1"/>
    <col min="4" max="4" width="25.109375" customWidth="1"/>
    <col min="5" max="5" width="16.6640625" customWidth="1"/>
    <col min="9" max="9" width="12.21875" customWidth="1"/>
    <col min="10" max="10" width="18.33203125" bestFit="1" customWidth="1"/>
    <col min="11" max="11" width="14.109375" bestFit="1" customWidth="1"/>
    <col min="12" max="12" width="12.21875" customWidth="1"/>
    <col min="15" max="15" width="10.6640625" bestFit="1" customWidth="1"/>
    <col min="18" max="18" width="15" bestFit="1" customWidth="1"/>
    <col min="21" max="21" width="15" customWidth="1"/>
    <col min="24" max="24" width="15" bestFit="1" customWidth="1"/>
  </cols>
  <sheetData>
    <row r="1" spans="1:8" ht="15" thickBot="1" x14ac:dyDescent="0.35">
      <c r="A1" t="s">
        <v>1621</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21" spans="2:13" ht="15" thickBot="1" x14ac:dyDescent="0.35"/>
    <row r="22" spans="2:13" ht="15" thickBot="1" x14ac:dyDescent="0.35">
      <c r="C22" s="375" t="s">
        <v>4</v>
      </c>
      <c r="D22" s="376"/>
      <c r="E22" s="376"/>
      <c r="F22" s="376"/>
      <c r="G22" s="377"/>
      <c r="I22" s="375" t="s">
        <v>3</v>
      </c>
      <c r="J22" s="376"/>
      <c r="K22" s="376"/>
      <c r="L22" s="376"/>
      <c r="M22" s="377"/>
    </row>
    <row r="24" spans="2:13" s="26" customFormat="1" x14ac:dyDescent="0.3">
      <c r="B24" s="26" t="s">
        <v>27</v>
      </c>
    </row>
    <row r="25" spans="2:13" x14ac:dyDescent="0.3">
      <c r="C25" t="s">
        <v>1620</v>
      </c>
    </row>
    <row r="26" spans="2:13" x14ac:dyDescent="0.3">
      <c r="C26" t="s">
        <v>284</v>
      </c>
      <c r="D26" t="s">
        <v>1163</v>
      </c>
      <c r="E26" t="s">
        <v>1602</v>
      </c>
      <c r="F26" t="s">
        <v>1601</v>
      </c>
    </row>
    <row r="27" spans="2:13" x14ac:dyDescent="0.3">
      <c r="C27" t="s">
        <v>1605</v>
      </c>
      <c r="D27" s="109">
        <v>498.55</v>
      </c>
      <c r="E27" s="109">
        <v>1022.03</v>
      </c>
      <c r="F27" s="109">
        <v>1371.01</v>
      </c>
    </row>
    <row r="28" spans="2:13" x14ac:dyDescent="0.3">
      <c r="C28" t="s">
        <v>213</v>
      </c>
      <c r="D28" s="109">
        <v>605.38</v>
      </c>
      <c r="E28" s="109">
        <v>1241.03</v>
      </c>
      <c r="F28" s="109">
        <v>1664.8</v>
      </c>
    </row>
    <row r="30" spans="2:13" x14ac:dyDescent="0.3">
      <c r="C30" t="s">
        <v>1619</v>
      </c>
    </row>
    <row r="31" spans="2:13" x14ac:dyDescent="0.3">
      <c r="C31" t="s">
        <v>1618</v>
      </c>
      <c r="D31" t="s">
        <v>1163</v>
      </c>
      <c r="E31" t="s">
        <v>1602</v>
      </c>
      <c r="F31" t="s">
        <v>1601</v>
      </c>
    </row>
    <row r="32" spans="2:13" x14ac:dyDescent="0.3">
      <c r="C32" t="s">
        <v>1612</v>
      </c>
      <c r="D32">
        <v>0.8</v>
      </c>
      <c r="E32">
        <v>0.8</v>
      </c>
      <c r="F32">
        <v>0.8</v>
      </c>
    </row>
    <row r="33" spans="3:6" x14ac:dyDescent="0.3">
      <c r="C33" t="s">
        <v>1611</v>
      </c>
      <c r="D33">
        <v>0.8</v>
      </c>
      <c r="E33">
        <v>0.75</v>
      </c>
      <c r="F33">
        <v>0.75</v>
      </c>
    </row>
    <row r="34" spans="3:6" x14ac:dyDescent="0.3">
      <c r="C34" t="s">
        <v>1610</v>
      </c>
      <c r="D34">
        <v>0.8</v>
      </c>
      <c r="E34">
        <v>0.75</v>
      </c>
      <c r="F34">
        <v>0.75</v>
      </c>
    </row>
    <row r="35" spans="3:6" x14ac:dyDescent="0.3">
      <c r="C35" t="s">
        <v>1613</v>
      </c>
      <c r="D35">
        <v>0.75</v>
      </c>
      <c r="E35">
        <v>0.65</v>
      </c>
      <c r="F35">
        <v>0.65</v>
      </c>
    </row>
    <row r="36" spans="3:6" x14ac:dyDescent="0.3">
      <c r="C36" t="s">
        <v>1608</v>
      </c>
      <c r="D36">
        <v>0.75</v>
      </c>
      <c r="E36">
        <v>0.65</v>
      </c>
      <c r="F36">
        <v>0.65</v>
      </c>
    </row>
    <row r="38" spans="3:6" x14ac:dyDescent="0.3">
      <c r="C38" t="s">
        <v>1617</v>
      </c>
    </row>
    <row r="39" spans="3:6" x14ac:dyDescent="0.3">
      <c r="C39" t="s">
        <v>284</v>
      </c>
      <c r="D39" t="s">
        <v>1616</v>
      </c>
      <c r="E39" t="s">
        <v>1615</v>
      </c>
      <c r="F39" t="s">
        <v>1614</v>
      </c>
    </row>
    <row r="40" spans="3:6" x14ac:dyDescent="0.3">
      <c r="C40" t="s">
        <v>213</v>
      </c>
      <c r="D40" t="s">
        <v>1163</v>
      </c>
      <c r="E40" t="s">
        <v>1612</v>
      </c>
      <c r="F40">
        <v>1</v>
      </c>
    </row>
    <row r="41" spans="3:6" x14ac:dyDescent="0.3">
      <c r="C41" t="s">
        <v>213</v>
      </c>
      <c r="D41" t="s">
        <v>1163</v>
      </c>
      <c r="E41" t="s">
        <v>1611</v>
      </c>
      <c r="F41">
        <v>1</v>
      </c>
    </row>
    <row r="42" spans="3:6" x14ac:dyDescent="0.3">
      <c r="C42" t="s">
        <v>213</v>
      </c>
      <c r="D42" t="s">
        <v>1163</v>
      </c>
      <c r="E42" t="s">
        <v>1608</v>
      </c>
      <c r="F42">
        <v>1</v>
      </c>
    </row>
    <row r="43" spans="3:6" x14ac:dyDescent="0.3">
      <c r="C43" t="s">
        <v>213</v>
      </c>
      <c r="D43" t="s">
        <v>1602</v>
      </c>
      <c r="E43" t="s">
        <v>1611</v>
      </c>
      <c r="F43">
        <v>2</v>
      </c>
    </row>
    <row r="44" spans="3:6" x14ac:dyDescent="0.3">
      <c r="C44" t="s">
        <v>213</v>
      </c>
      <c r="D44" t="s">
        <v>1602</v>
      </c>
      <c r="E44" t="s">
        <v>1610</v>
      </c>
      <c r="F44">
        <v>1</v>
      </c>
    </row>
    <row r="45" spans="3:6" x14ac:dyDescent="0.3">
      <c r="C45" t="s">
        <v>213</v>
      </c>
      <c r="D45" t="s">
        <v>1601</v>
      </c>
      <c r="E45" t="s">
        <v>1612</v>
      </c>
      <c r="F45">
        <v>1</v>
      </c>
    </row>
    <row r="46" spans="3:6" x14ac:dyDescent="0.3">
      <c r="C46" t="s">
        <v>213</v>
      </c>
      <c r="D46" t="s">
        <v>1601</v>
      </c>
      <c r="E46" t="s">
        <v>1611</v>
      </c>
      <c r="F46">
        <v>2</v>
      </c>
    </row>
    <row r="47" spans="3:6" x14ac:dyDescent="0.3">
      <c r="C47" t="s">
        <v>213</v>
      </c>
      <c r="D47" t="s">
        <v>1601</v>
      </c>
      <c r="E47" t="s">
        <v>1610</v>
      </c>
      <c r="F47">
        <v>2</v>
      </c>
    </row>
    <row r="48" spans="3:6" x14ac:dyDescent="0.3">
      <c r="C48" t="s">
        <v>1609</v>
      </c>
      <c r="D48" t="s">
        <v>1163</v>
      </c>
      <c r="E48" t="s">
        <v>1612</v>
      </c>
      <c r="F48">
        <v>3</v>
      </c>
    </row>
    <row r="49" spans="2:6" x14ac:dyDescent="0.3">
      <c r="C49" t="s">
        <v>1609</v>
      </c>
      <c r="D49" t="s">
        <v>1163</v>
      </c>
      <c r="E49" t="s">
        <v>1611</v>
      </c>
      <c r="F49">
        <v>2</v>
      </c>
    </row>
    <row r="50" spans="2:6" x14ac:dyDescent="0.3">
      <c r="C50" t="s">
        <v>1609</v>
      </c>
      <c r="D50" t="s">
        <v>1163</v>
      </c>
      <c r="E50" t="s">
        <v>1610</v>
      </c>
      <c r="F50">
        <v>7</v>
      </c>
    </row>
    <row r="51" spans="2:6" x14ac:dyDescent="0.3">
      <c r="C51" t="s">
        <v>1609</v>
      </c>
      <c r="D51" t="s">
        <v>1163</v>
      </c>
      <c r="E51" t="s">
        <v>1613</v>
      </c>
      <c r="F51">
        <v>1</v>
      </c>
    </row>
    <row r="52" spans="2:6" x14ac:dyDescent="0.3">
      <c r="C52" t="s">
        <v>1609</v>
      </c>
      <c r="D52" t="s">
        <v>1602</v>
      </c>
      <c r="E52" t="s">
        <v>1612</v>
      </c>
      <c r="F52">
        <v>4</v>
      </c>
    </row>
    <row r="53" spans="2:6" x14ac:dyDescent="0.3">
      <c r="C53" t="s">
        <v>1609</v>
      </c>
      <c r="D53" t="s">
        <v>1602</v>
      </c>
      <c r="E53" t="s">
        <v>1611</v>
      </c>
      <c r="F53">
        <v>3</v>
      </c>
    </row>
    <row r="54" spans="2:6" x14ac:dyDescent="0.3">
      <c r="C54" t="s">
        <v>1609</v>
      </c>
      <c r="D54" t="s">
        <v>1602</v>
      </c>
      <c r="E54" t="s">
        <v>1610</v>
      </c>
      <c r="F54">
        <v>1</v>
      </c>
    </row>
    <row r="55" spans="2:6" x14ac:dyDescent="0.3">
      <c r="C55" t="s">
        <v>1609</v>
      </c>
      <c r="D55" t="s">
        <v>1601</v>
      </c>
      <c r="E55" t="s">
        <v>1608</v>
      </c>
      <c r="F55">
        <v>1</v>
      </c>
    </row>
    <row r="57" spans="2:6" s="26" customFormat="1" x14ac:dyDescent="0.3">
      <c r="B57" s="26" t="s">
        <v>18</v>
      </c>
    </row>
    <row r="59" spans="2:6" x14ac:dyDescent="0.3">
      <c r="C59" t="s">
        <v>1607</v>
      </c>
    </row>
    <row r="61" spans="2:6" x14ac:dyDescent="0.3">
      <c r="C61" t="s">
        <v>1606</v>
      </c>
      <c r="D61" t="s">
        <v>1163</v>
      </c>
      <c r="E61" t="s">
        <v>1602</v>
      </c>
      <c r="F61" t="s">
        <v>1601</v>
      </c>
    </row>
    <row r="62" spans="2:6" x14ac:dyDescent="0.3">
      <c r="C62" t="s">
        <v>1605</v>
      </c>
      <c r="D62" s="109">
        <v>530.96</v>
      </c>
      <c r="E62" s="109">
        <v>1088.46</v>
      </c>
      <c r="F62" s="109">
        <v>1460.13</v>
      </c>
    </row>
    <row r="63" spans="2:6" x14ac:dyDescent="0.3">
      <c r="C63" t="s">
        <v>213</v>
      </c>
      <c r="D63" s="109">
        <v>635.65</v>
      </c>
      <c r="E63" s="109">
        <v>1303.08</v>
      </c>
      <c r="F63" s="109">
        <v>1748.04</v>
      </c>
    </row>
    <row r="66" spans="3:6" x14ac:dyDescent="0.3">
      <c r="C66" t="s">
        <v>1604</v>
      </c>
    </row>
    <row r="67" spans="3:6" x14ac:dyDescent="0.3">
      <c r="D67" t="s">
        <v>1163</v>
      </c>
      <c r="E67" t="s">
        <v>1602</v>
      </c>
      <c r="F67" t="s">
        <v>1601</v>
      </c>
    </row>
    <row r="68" spans="3:6" x14ac:dyDescent="0.3">
      <c r="C68" t="s">
        <v>1600</v>
      </c>
      <c r="D68">
        <v>0.85</v>
      </c>
      <c r="E68">
        <v>0.5</v>
      </c>
      <c r="F68">
        <v>0.5</v>
      </c>
    </row>
    <row r="70" spans="3:6" x14ac:dyDescent="0.3">
      <c r="C70" t="s">
        <v>1603</v>
      </c>
    </row>
    <row r="71" spans="3:6" x14ac:dyDescent="0.3">
      <c r="D71" t="s">
        <v>1163</v>
      </c>
      <c r="E71" t="s">
        <v>1602</v>
      </c>
      <c r="F71" t="s">
        <v>1601</v>
      </c>
    </row>
    <row r="72" spans="3:6" x14ac:dyDescent="0.3">
      <c r="C72" t="s">
        <v>1600</v>
      </c>
      <c r="D72">
        <v>0.8</v>
      </c>
      <c r="E72">
        <v>0.8</v>
      </c>
      <c r="F72">
        <v>0.8</v>
      </c>
    </row>
  </sheetData>
  <mergeCells count="3">
    <mergeCell ref="C10:F10"/>
    <mergeCell ref="C22:G22"/>
    <mergeCell ref="I22:M22"/>
  </mergeCells>
  <pageMargins left="0.7" right="0.7" top="0.75" bottom="0.7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28674-4B49-4E09-B3D6-47CEF9C0E307}">
  <sheetPr>
    <tabColor theme="9" tint="0.59999389629810485"/>
  </sheetPr>
  <dimension ref="A1:AF96"/>
  <sheetViews>
    <sheetView topLeftCell="C57" workbookViewId="0">
      <selection sqref="A1:XFD1048576"/>
    </sheetView>
  </sheetViews>
  <sheetFormatPr defaultRowHeight="14.4" x14ac:dyDescent="0.3"/>
  <cols>
    <col min="3" max="3" width="23.21875" customWidth="1"/>
    <col min="4" max="4" width="25.109375" customWidth="1"/>
    <col min="5" max="5" width="16.6640625" customWidth="1"/>
    <col min="9" max="9" width="12.21875" customWidth="1"/>
    <col min="10" max="10" width="18.33203125" bestFit="1" customWidth="1"/>
    <col min="11" max="11" width="14.109375" bestFit="1" customWidth="1"/>
    <col min="12" max="12" width="12.21875" customWidth="1"/>
    <col min="15" max="15" width="10.6640625" bestFit="1" customWidth="1"/>
    <col min="18" max="18" width="15" bestFit="1" customWidth="1"/>
    <col min="21" max="21" width="15" customWidth="1"/>
    <col min="24" max="24" width="15" bestFit="1" customWidth="1"/>
  </cols>
  <sheetData>
    <row r="1" spans="1:8" ht="15" thickBot="1" x14ac:dyDescent="0.35">
      <c r="A1" t="s">
        <v>1621</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21" spans="2:15" ht="15" thickBot="1" x14ac:dyDescent="0.35"/>
    <row r="22" spans="2:15" ht="15" thickBot="1" x14ac:dyDescent="0.35">
      <c r="C22" s="375" t="s">
        <v>4</v>
      </c>
      <c r="D22" s="376"/>
      <c r="E22" s="376"/>
      <c r="F22" s="376"/>
      <c r="G22" s="377"/>
      <c r="I22" s="375" t="s">
        <v>3</v>
      </c>
      <c r="J22" s="376"/>
      <c r="K22" s="376"/>
      <c r="L22" s="376"/>
      <c r="M22" s="377"/>
    </row>
    <row r="24" spans="2:15" s="26" customFormat="1" x14ac:dyDescent="0.3">
      <c r="B24" s="26" t="s">
        <v>27</v>
      </c>
    </row>
    <row r="25" spans="2:15" x14ac:dyDescent="0.3">
      <c r="C25" t="s">
        <v>1620</v>
      </c>
      <c r="I25" s="390" t="s">
        <v>1617</v>
      </c>
      <c r="J25" s="390"/>
      <c r="K25" s="390"/>
      <c r="L25" s="390"/>
    </row>
    <row r="26" spans="2:15" x14ac:dyDescent="0.3">
      <c r="C26" t="s">
        <v>284</v>
      </c>
      <c r="D26" t="s">
        <v>1163</v>
      </c>
      <c r="E26" t="s">
        <v>1602</v>
      </c>
      <c r="F26" t="s">
        <v>1601</v>
      </c>
      <c r="I26" t="s">
        <v>284</v>
      </c>
      <c r="J26" t="s">
        <v>1616</v>
      </c>
      <c r="K26" t="s">
        <v>1615</v>
      </c>
      <c r="L26" t="s">
        <v>1614</v>
      </c>
      <c r="M26" t="s">
        <v>1517</v>
      </c>
      <c r="N26" t="s">
        <v>1686</v>
      </c>
      <c r="O26" t="s">
        <v>1689</v>
      </c>
    </row>
    <row r="27" spans="2:15" x14ac:dyDescent="0.3">
      <c r="C27" t="s">
        <v>1605</v>
      </c>
      <c r="D27" s="109">
        <v>498.55</v>
      </c>
      <c r="E27" s="109">
        <v>1022.03</v>
      </c>
      <c r="F27" s="109">
        <v>1371.01</v>
      </c>
      <c r="I27" t="s">
        <v>213</v>
      </c>
      <c r="J27" t="s">
        <v>1163</v>
      </c>
      <c r="K27" t="s">
        <v>1612</v>
      </c>
      <c r="L27">
        <v>1</v>
      </c>
      <c r="M27" s="373">
        <f t="shared" ref="M27:M34" si="0">HLOOKUP($J27,$D$26:$F$28,3,0)</f>
        <v>605.38</v>
      </c>
      <c r="N27">
        <f t="shared" ref="N27:N42" si="1">INDEX($D$32:$F$36,MATCH(K27,$C$32:$C$36,0),MATCH(J27,$D$31:$F$31,0))</f>
        <v>0.8</v>
      </c>
      <c r="O27" s="372">
        <f t="shared" ref="O27:O42" si="2">L27*M27*N27</f>
        <v>484.30400000000003</v>
      </c>
    </row>
    <row r="28" spans="2:15" x14ac:dyDescent="0.3">
      <c r="C28" t="s">
        <v>213</v>
      </c>
      <c r="D28" s="109">
        <v>605.38</v>
      </c>
      <c r="E28" s="109">
        <v>1241.03</v>
      </c>
      <c r="F28" s="109">
        <v>1664.8</v>
      </c>
      <c r="I28" t="s">
        <v>213</v>
      </c>
      <c r="J28" t="s">
        <v>1163</v>
      </c>
      <c r="K28" t="s">
        <v>1611</v>
      </c>
      <c r="L28">
        <v>1</v>
      </c>
      <c r="M28" s="373">
        <f t="shared" si="0"/>
        <v>605.38</v>
      </c>
      <c r="N28">
        <f t="shared" si="1"/>
        <v>0.8</v>
      </c>
      <c r="O28" s="372">
        <f t="shared" si="2"/>
        <v>484.30400000000003</v>
      </c>
    </row>
    <row r="29" spans="2:15" x14ac:dyDescent="0.3">
      <c r="I29" t="s">
        <v>213</v>
      </c>
      <c r="J29" t="s">
        <v>1163</v>
      </c>
      <c r="K29" t="s">
        <v>1608</v>
      </c>
      <c r="L29">
        <v>1</v>
      </c>
      <c r="M29" s="373">
        <f t="shared" si="0"/>
        <v>605.38</v>
      </c>
      <c r="N29">
        <f t="shared" si="1"/>
        <v>0.75</v>
      </c>
      <c r="O29" s="372">
        <f t="shared" si="2"/>
        <v>454.03499999999997</v>
      </c>
    </row>
    <row r="30" spans="2:15" x14ac:dyDescent="0.3">
      <c r="C30" t="s">
        <v>1619</v>
      </c>
      <c r="I30" t="s">
        <v>213</v>
      </c>
      <c r="J30" t="s">
        <v>1602</v>
      </c>
      <c r="K30" t="s">
        <v>1611</v>
      </c>
      <c r="L30">
        <v>2</v>
      </c>
      <c r="M30" s="373">
        <f t="shared" si="0"/>
        <v>1241.03</v>
      </c>
      <c r="N30">
        <f t="shared" si="1"/>
        <v>0.75</v>
      </c>
      <c r="O30" s="372">
        <f t="shared" si="2"/>
        <v>1861.5450000000001</v>
      </c>
    </row>
    <row r="31" spans="2:15" x14ac:dyDescent="0.3">
      <c r="C31" t="s">
        <v>1618</v>
      </c>
      <c r="D31" t="s">
        <v>1163</v>
      </c>
      <c r="E31" t="s">
        <v>1602</v>
      </c>
      <c r="F31" t="s">
        <v>1601</v>
      </c>
      <c r="I31" t="s">
        <v>213</v>
      </c>
      <c r="J31" t="s">
        <v>1602</v>
      </c>
      <c r="K31" t="s">
        <v>1610</v>
      </c>
      <c r="L31">
        <v>1</v>
      </c>
      <c r="M31" s="373">
        <f t="shared" si="0"/>
        <v>1241.03</v>
      </c>
      <c r="N31">
        <f t="shared" si="1"/>
        <v>0.75</v>
      </c>
      <c r="O31" s="372">
        <f t="shared" si="2"/>
        <v>930.77250000000004</v>
      </c>
    </row>
    <row r="32" spans="2:15" x14ac:dyDescent="0.3">
      <c r="C32" t="s">
        <v>1612</v>
      </c>
      <c r="D32">
        <v>0.8</v>
      </c>
      <c r="E32">
        <v>0.8</v>
      </c>
      <c r="F32">
        <v>0.8</v>
      </c>
      <c r="I32" t="s">
        <v>213</v>
      </c>
      <c r="J32" t="s">
        <v>1601</v>
      </c>
      <c r="K32" t="s">
        <v>1612</v>
      </c>
      <c r="L32">
        <v>1</v>
      </c>
      <c r="M32" s="373">
        <f t="shared" si="0"/>
        <v>1664.8</v>
      </c>
      <c r="N32">
        <f t="shared" si="1"/>
        <v>0.8</v>
      </c>
      <c r="O32" s="372">
        <f t="shared" si="2"/>
        <v>1331.8400000000001</v>
      </c>
    </row>
    <row r="33" spans="3:15" x14ac:dyDescent="0.3">
      <c r="C33" t="s">
        <v>1611</v>
      </c>
      <c r="D33">
        <v>0.8</v>
      </c>
      <c r="E33">
        <v>0.75</v>
      </c>
      <c r="F33">
        <v>0.75</v>
      </c>
      <c r="I33" t="s">
        <v>213</v>
      </c>
      <c r="J33" t="s">
        <v>1601</v>
      </c>
      <c r="K33" t="s">
        <v>1611</v>
      </c>
      <c r="L33">
        <v>2</v>
      </c>
      <c r="M33" s="373">
        <f t="shared" si="0"/>
        <v>1664.8</v>
      </c>
      <c r="N33">
        <f t="shared" si="1"/>
        <v>0.75</v>
      </c>
      <c r="O33" s="372">
        <f t="shared" si="2"/>
        <v>2497.1999999999998</v>
      </c>
    </row>
    <row r="34" spans="3:15" x14ac:dyDescent="0.3">
      <c r="C34" t="s">
        <v>1610</v>
      </c>
      <c r="D34">
        <v>0.8</v>
      </c>
      <c r="E34">
        <v>0.75</v>
      </c>
      <c r="F34">
        <v>0.75</v>
      </c>
      <c r="I34" t="s">
        <v>213</v>
      </c>
      <c r="J34" t="s">
        <v>1601</v>
      </c>
      <c r="K34" t="s">
        <v>1610</v>
      </c>
      <c r="L34">
        <v>2</v>
      </c>
      <c r="M34" s="373">
        <f t="shared" si="0"/>
        <v>1664.8</v>
      </c>
      <c r="N34">
        <f t="shared" si="1"/>
        <v>0.75</v>
      </c>
      <c r="O34" s="372">
        <f t="shared" si="2"/>
        <v>2497.1999999999998</v>
      </c>
    </row>
    <row r="35" spans="3:15" x14ac:dyDescent="0.3">
      <c r="C35" t="s">
        <v>1613</v>
      </c>
      <c r="D35">
        <v>0.75</v>
      </c>
      <c r="E35">
        <v>0.65</v>
      </c>
      <c r="F35">
        <v>0.65</v>
      </c>
      <c r="I35" t="s">
        <v>1609</v>
      </c>
      <c r="J35" t="s">
        <v>1163</v>
      </c>
      <c r="K35" t="s">
        <v>1612</v>
      </c>
      <c r="L35">
        <v>3</v>
      </c>
      <c r="M35" s="373">
        <f t="shared" ref="M35:M42" si="3">HLOOKUP($J35,$D$26:$F$28,2,0)</f>
        <v>498.55</v>
      </c>
      <c r="N35">
        <f t="shared" si="1"/>
        <v>0.8</v>
      </c>
      <c r="O35" s="372">
        <f t="shared" si="2"/>
        <v>1196.5200000000002</v>
      </c>
    </row>
    <row r="36" spans="3:15" x14ac:dyDescent="0.3">
      <c r="C36" t="s">
        <v>1608</v>
      </c>
      <c r="D36">
        <v>0.75</v>
      </c>
      <c r="E36">
        <v>0.65</v>
      </c>
      <c r="F36">
        <v>0.65</v>
      </c>
      <c r="I36" t="s">
        <v>1609</v>
      </c>
      <c r="J36" t="s">
        <v>1163</v>
      </c>
      <c r="K36" t="s">
        <v>1611</v>
      </c>
      <c r="L36">
        <v>2</v>
      </c>
      <c r="M36" s="373">
        <f t="shared" si="3"/>
        <v>498.55</v>
      </c>
      <c r="N36">
        <f t="shared" si="1"/>
        <v>0.8</v>
      </c>
      <c r="O36" s="372">
        <f t="shared" si="2"/>
        <v>797.68000000000006</v>
      </c>
    </row>
    <row r="37" spans="3:15" x14ac:dyDescent="0.3">
      <c r="I37" t="s">
        <v>1609</v>
      </c>
      <c r="J37" t="s">
        <v>1163</v>
      </c>
      <c r="K37" t="s">
        <v>1610</v>
      </c>
      <c r="L37">
        <v>7</v>
      </c>
      <c r="M37" s="373">
        <f t="shared" si="3"/>
        <v>498.55</v>
      </c>
      <c r="N37">
        <f t="shared" si="1"/>
        <v>0.8</v>
      </c>
      <c r="O37" s="372">
        <f t="shared" si="2"/>
        <v>2791.88</v>
      </c>
    </row>
    <row r="38" spans="3:15" x14ac:dyDescent="0.3">
      <c r="C38" t="s">
        <v>1617</v>
      </c>
      <c r="I38" t="s">
        <v>1609</v>
      </c>
      <c r="J38" t="s">
        <v>1163</v>
      </c>
      <c r="K38" t="s">
        <v>1613</v>
      </c>
      <c r="L38">
        <v>1</v>
      </c>
      <c r="M38" s="373">
        <f t="shared" si="3"/>
        <v>498.55</v>
      </c>
      <c r="N38">
        <f t="shared" si="1"/>
        <v>0.75</v>
      </c>
      <c r="O38" s="372">
        <f t="shared" si="2"/>
        <v>373.91250000000002</v>
      </c>
    </row>
    <row r="39" spans="3:15" x14ac:dyDescent="0.3">
      <c r="C39" t="s">
        <v>284</v>
      </c>
      <c r="D39" t="s">
        <v>1616</v>
      </c>
      <c r="E39" t="s">
        <v>1615</v>
      </c>
      <c r="F39" t="s">
        <v>1614</v>
      </c>
      <c r="I39" t="s">
        <v>1609</v>
      </c>
      <c r="J39" t="s">
        <v>1602</v>
      </c>
      <c r="K39" t="s">
        <v>1612</v>
      </c>
      <c r="L39">
        <v>4</v>
      </c>
      <c r="M39" s="373">
        <f t="shared" si="3"/>
        <v>1022.03</v>
      </c>
      <c r="N39">
        <f t="shared" si="1"/>
        <v>0.8</v>
      </c>
      <c r="O39" s="372">
        <f t="shared" si="2"/>
        <v>3270.4960000000001</v>
      </c>
    </row>
    <row r="40" spans="3:15" x14ac:dyDescent="0.3">
      <c r="C40" t="s">
        <v>213</v>
      </c>
      <c r="D40" t="s">
        <v>1163</v>
      </c>
      <c r="E40" t="s">
        <v>1612</v>
      </c>
      <c r="F40">
        <v>1</v>
      </c>
      <c r="I40" t="s">
        <v>1609</v>
      </c>
      <c r="J40" t="s">
        <v>1602</v>
      </c>
      <c r="K40" t="s">
        <v>1611</v>
      </c>
      <c r="L40">
        <v>3</v>
      </c>
      <c r="M40" s="373">
        <f t="shared" si="3"/>
        <v>1022.03</v>
      </c>
      <c r="N40">
        <f t="shared" si="1"/>
        <v>0.75</v>
      </c>
      <c r="O40" s="372">
        <f t="shared" si="2"/>
        <v>2299.5675000000001</v>
      </c>
    </row>
    <row r="41" spans="3:15" x14ac:dyDescent="0.3">
      <c r="C41" t="s">
        <v>213</v>
      </c>
      <c r="D41" t="s">
        <v>1163</v>
      </c>
      <c r="E41" t="s">
        <v>1611</v>
      </c>
      <c r="F41">
        <v>1</v>
      </c>
      <c r="I41" t="s">
        <v>1609</v>
      </c>
      <c r="J41" t="s">
        <v>1602</v>
      </c>
      <c r="K41" t="s">
        <v>1610</v>
      </c>
      <c r="L41">
        <v>1</v>
      </c>
      <c r="M41" s="373">
        <f t="shared" si="3"/>
        <v>1022.03</v>
      </c>
      <c r="N41">
        <f t="shared" si="1"/>
        <v>0.75</v>
      </c>
      <c r="O41" s="372">
        <f t="shared" si="2"/>
        <v>766.52250000000004</v>
      </c>
    </row>
    <row r="42" spans="3:15" x14ac:dyDescent="0.3">
      <c r="C42" t="s">
        <v>213</v>
      </c>
      <c r="D42" t="s">
        <v>1163</v>
      </c>
      <c r="E42" t="s">
        <v>1608</v>
      </c>
      <c r="F42">
        <v>1</v>
      </c>
      <c r="I42" s="26" t="s">
        <v>1609</v>
      </c>
      <c r="J42" s="26" t="s">
        <v>1601</v>
      </c>
      <c r="K42" s="26" t="s">
        <v>1608</v>
      </c>
      <c r="L42" s="26">
        <v>1</v>
      </c>
      <c r="M42" s="371">
        <f t="shared" si="3"/>
        <v>1371.01</v>
      </c>
      <c r="N42" s="26">
        <f t="shared" si="1"/>
        <v>0.65</v>
      </c>
      <c r="O42" s="370">
        <f t="shared" si="2"/>
        <v>891.15650000000005</v>
      </c>
    </row>
    <row r="43" spans="3:15" x14ac:dyDescent="0.3">
      <c r="C43" t="s">
        <v>213</v>
      </c>
      <c r="D43" t="s">
        <v>1602</v>
      </c>
      <c r="E43" t="s">
        <v>1611</v>
      </c>
      <c r="F43">
        <v>2</v>
      </c>
      <c r="O43" s="5">
        <f>SUM(O27:O42)</f>
        <v>22928.935500000003</v>
      </c>
    </row>
    <row r="44" spans="3:15" x14ac:dyDescent="0.3">
      <c r="C44" t="s">
        <v>213</v>
      </c>
      <c r="D44" t="s">
        <v>1602</v>
      </c>
      <c r="E44" t="s">
        <v>1610</v>
      </c>
      <c r="F44">
        <v>1</v>
      </c>
    </row>
    <row r="45" spans="3:15" x14ac:dyDescent="0.3">
      <c r="C45" t="s">
        <v>213</v>
      </c>
      <c r="D45" t="s">
        <v>1601</v>
      </c>
      <c r="E45" t="s">
        <v>1612</v>
      </c>
      <c r="F45">
        <v>1</v>
      </c>
    </row>
    <row r="46" spans="3:15" x14ac:dyDescent="0.3">
      <c r="C46" t="s">
        <v>213</v>
      </c>
      <c r="D46" t="s">
        <v>1601</v>
      </c>
      <c r="E46" t="s">
        <v>1611</v>
      </c>
      <c r="F46">
        <v>2</v>
      </c>
    </row>
    <row r="47" spans="3:15" x14ac:dyDescent="0.3">
      <c r="C47" t="s">
        <v>213</v>
      </c>
      <c r="D47" t="s">
        <v>1601</v>
      </c>
      <c r="E47" t="s">
        <v>1610</v>
      </c>
      <c r="F47">
        <v>2</v>
      </c>
    </row>
    <row r="48" spans="3:15" x14ac:dyDescent="0.3">
      <c r="C48" t="s">
        <v>1609</v>
      </c>
      <c r="D48" t="s">
        <v>1163</v>
      </c>
      <c r="E48" t="s">
        <v>1612</v>
      </c>
      <c r="F48">
        <v>3</v>
      </c>
    </row>
    <row r="49" spans="2:12" x14ac:dyDescent="0.3">
      <c r="C49" t="s">
        <v>1609</v>
      </c>
      <c r="D49" t="s">
        <v>1163</v>
      </c>
      <c r="E49" t="s">
        <v>1611</v>
      </c>
      <c r="F49">
        <v>2</v>
      </c>
    </row>
    <row r="50" spans="2:12" x14ac:dyDescent="0.3">
      <c r="C50" t="s">
        <v>1609</v>
      </c>
      <c r="D50" t="s">
        <v>1163</v>
      </c>
      <c r="E50" t="s">
        <v>1610</v>
      </c>
      <c r="F50">
        <v>7</v>
      </c>
    </row>
    <row r="51" spans="2:12" x14ac:dyDescent="0.3">
      <c r="C51" t="s">
        <v>1609</v>
      </c>
      <c r="D51" t="s">
        <v>1163</v>
      </c>
      <c r="E51" t="s">
        <v>1613</v>
      </c>
      <c r="F51">
        <v>1</v>
      </c>
    </row>
    <row r="52" spans="2:12" x14ac:dyDescent="0.3">
      <c r="C52" t="s">
        <v>1609</v>
      </c>
      <c r="D52" t="s">
        <v>1602</v>
      </c>
      <c r="E52" t="s">
        <v>1612</v>
      </c>
      <c r="F52">
        <v>4</v>
      </c>
    </row>
    <row r="53" spans="2:12" x14ac:dyDescent="0.3">
      <c r="C53" t="s">
        <v>1609</v>
      </c>
      <c r="D53" t="s">
        <v>1602</v>
      </c>
      <c r="E53" t="s">
        <v>1611</v>
      </c>
      <c r="F53">
        <v>3</v>
      </c>
    </row>
    <row r="54" spans="2:12" x14ac:dyDescent="0.3">
      <c r="C54" t="s">
        <v>1609</v>
      </c>
      <c r="D54" t="s">
        <v>1602</v>
      </c>
      <c r="E54" t="s">
        <v>1610</v>
      </c>
      <c r="F54">
        <v>1</v>
      </c>
    </row>
    <row r="55" spans="2:12" x14ac:dyDescent="0.3">
      <c r="C55" t="s">
        <v>1609</v>
      </c>
      <c r="D55" t="s">
        <v>1601</v>
      </c>
      <c r="E55" t="s">
        <v>1608</v>
      </c>
      <c r="F55">
        <v>1</v>
      </c>
    </row>
    <row r="57" spans="2:12" s="26" customFormat="1" x14ac:dyDescent="0.3">
      <c r="B57" s="26" t="s">
        <v>18</v>
      </c>
    </row>
    <row r="59" spans="2:12" x14ac:dyDescent="0.3">
      <c r="C59" t="s">
        <v>1607</v>
      </c>
      <c r="I59" t="s">
        <v>1604</v>
      </c>
    </row>
    <row r="60" spans="2:12" x14ac:dyDescent="0.3">
      <c r="J60" t="s">
        <v>1163</v>
      </c>
      <c r="K60" t="s">
        <v>1602</v>
      </c>
      <c r="L60" t="s">
        <v>1601</v>
      </c>
    </row>
    <row r="61" spans="2:12" x14ac:dyDescent="0.3">
      <c r="C61" t="s">
        <v>1606</v>
      </c>
      <c r="D61" t="s">
        <v>1163</v>
      </c>
      <c r="E61" t="s">
        <v>1602</v>
      </c>
      <c r="F61" t="s">
        <v>1601</v>
      </c>
      <c r="I61" t="s">
        <v>1600</v>
      </c>
      <c r="J61" s="55">
        <f>D68</f>
        <v>0.85</v>
      </c>
      <c r="K61" s="55">
        <f>E68</f>
        <v>0.5</v>
      </c>
      <c r="L61" s="55">
        <f>F68</f>
        <v>0.5</v>
      </c>
    </row>
    <row r="62" spans="2:12" x14ac:dyDescent="0.3">
      <c r="C62" t="s">
        <v>1605</v>
      </c>
      <c r="D62" s="109">
        <v>530.96</v>
      </c>
      <c r="E62" s="109">
        <v>1088.46</v>
      </c>
      <c r="F62" s="109">
        <v>1460.13</v>
      </c>
      <c r="I62" t="s">
        <v>1605</v>
      </c>
      <c r="J62" s="109">
        <f>D62*$J$61</f>
        <v>451.31600000000003</v>
      </c>
      <c r="K62" s="109">
        <f>J62+$K$61*(E62-$D$62)</f>
        <v>730.06600000000003</v>
      </c>
      <c r="L62" s="109">
        <f>J62+$L$61*(F62-$D$62)</f>
        <v>915.90100000000007</v>
      </c>
    </row>
    <row r="63" spans="2:12" x14ac:dyDescent="0.3">
      <c r="C63" t="s">
        <v>213</v>
      </c>
      <c r="D63" s="109">
        <v>635.65</v>
      </c>
      <c r="E63" s="109">
        <v>1303.08</v>
      </c>
      <c r="F63" s="109">
        <v>1748.04</v>
      </c>
      <c r="I63" t="s">
        <v>213</v>
      </c>
      <c r="J63" s="109">
        <f>D63*$J$61</f>
        <v>540.30250000000001</v>
      </c>
      <c r="K63" s="109">
        <f>J63+$K$61*(E63-$D$63)</f>
        <v>874.01749999999993</v>
      </c>
      <c r="L63" s="109">
        <f>J63+$L$61*(F63-$D$63)</f>
        <v>1096.4974999999999</v>
      </c>
    </row>
    <row r="65" spans="3:32" x14ac:dyDescent="0.3">
      <c r="I65" t="s">
        <v>1603</v>
      </c>
    </row>
    <row r="66" spans="3:32" x14ac:dyDescent="0.3">
      <c r="C66" t="s">
        <v>1604</v>
      </c>
      <c r="J66" t="s">
        <v>1163</v>
      </c>
      <c r="K66" t="s">
        <v>1602</v>
      </c>
      <c r="L66" t="s">
        <v>1601</v>
      </c>
    </row>
    <row r="67" spans="3:32" x14ac:dyDescent="0.3">
      <c r="D67" t="s">
        <v>1163</v>
      </c>
      <c r="E67" t="s">
        <v>1602</v>
      </c>
      <c r="F67" t="s">
        <v>1601</v>
      </c>
      <c r="I67" t="s">
        <v>1600</v>
      </c>
      <c r="J67" s="55">
        <f>D72</f>
        <v>0.8</v>
      </c>
      <c r="K67" s="55">
        <f>E72</f>
        <v>0.8</v>
      </c>
      <c r="L67" s="55">
        <f>F72</f>
        <v>0.8</v>
      </c>
    </row>
    <row r="68" spans="3:32" x14ac:dyDescent="0.3">
      <c r="C68" t="s">
        <v>1600</v>
      </c>
      <c r="D68">
        <v>0.85</v>
      </c>
      <c r="E68">
        <v>0.5</v>
      </c>
      <c r="F68">
        <v>0.5</v>
      </c>
      <c r="I68" t="s">
        <v>1605</v>
      </c>
      <c r="J68" s="109">
        <f>J67*D62</f>
        <v>424.76800000000003</v>
      </c>
      <c r="K68" s="109">
        <f>K67*E62</f>
        <v>870.76800000000003</v>
      </c>
      <c r="L68" s="109">
        <f>L67*F62</f>
        <v>1168.104</v>
      </c>
    </row>
    <row r="69" spans="3:32" x14ac:dyDescent="0.3">
      <c r="I69" t="s">
        <v>213</v>
      </c>
      <c r="J69" s="109">
        <f>J68</f>
        <v>424.76800000000003</v>
      </c>
      <c r="K69" s="109">
        <f>K68</f>
        <v>870.76800000000003</v>
      </c>
      <c r="L69" s="109">
        <f>L68</f>
        <v>1168.104</v>
      </c>
    </row>
    <row r="70" spans="3:32" x14ac:dyDescent="0.3">
      <c r="C70" t="s">
        <v>1603</v>
      </c>
    </row>
    <row r="71" spans="3:32" x14ac:dyDescent="0.3">
      <c r="D71" t="s">
        <v>1163</v>
      </c>
      <c r="E71" t="s">
        <v>1602</v>
      </c>
      <c r="F71" t="s">
        <v>1601</v>
      </c>
    </row>
    <row r="72" spans="3:32" x14ac:dyDescent="0.3">
      <c r="C72" t="s">
        <v>1600</v>
      </c>
      <c r="D72">
        <v>0.8</v>
      </c>
      <c r="E72">
        <v>0.8</v>
      </c>
      <c r="F72">
        <v>0.8</v>
      </c>
    </row>
    <row r="75" spans="3:32" x14ac:dyDescent="0.3">
      <c r="N75" s="183" t="s">
        <v>883</v>
      </c>
      <c r="Q75" s="183" t="s">
        <v>882</v>
      </c>
      <c r="T75" s="183" t="s">
        <v>881</v>
      </c>
      <c r="W75" s="183" t="s">
        <v>1688</v>
      </c>
    </row>
    <row r="76" spans="3:32" x14ac:dyDescent="0.3">
      <c r="I76" s="390" t="s">
        <v>1617</v>
      </c>
      <c r="J76" s="390"/>
      <c r="K76" s="390"/>
      <c r="L76" s="390"/>
      <c r="O76" t="s">
        <v>1687</v>
      </c>
      <c r="R76" t="s">
        <v>1687</v>
      </c>
      <c r="U76" t="s">
        <v>1687</v>
      </c>
      <c r="X76" t="s">
        <v>1687</v>
      </c>
    </row>
    <row r="77" spans="3:32" x14ac:dyDescent="0.3">
      <c r="I77" s="26" t="s">
        <v>284</v>
      </c>
      <c r="J77" s="26" t="s">
        <v>1616</v>
      </c>
      <c r="K77" s="26" t="s">
        <v>1615</v>
      </c>
      <c r="L77" s="26" t="s">
        <v>1614</v>
      </c>
      <c r="M77" s="26" t="s">
        <v>1517</v>
      </c>
      <c r="N77" s="26" t="s">
        <v>1686</v>
      </c>
      <c r="O77" s="26" t="s">
        <v>1686</v>
      </c>
      <c r="P77" s="26"/>
      <c r="Q77" s="26" t="s">
        <v>1686</v>
      </c>
      <c r="R77" s="26" t="s">
        <v>1686</v>
      </c>
      <c r="S77" s="26"/>
      <c r="T77" s="26" t="s">
        <v>1686</v>
      </c>
      <c r="U77" s="26" t="s">
        <v>1686</v>
      </c>
      <c r="V77" s="26"/>
      <c r="W77" s="26" t="s">
        <v>1686</v>
      </c>
      <c r="X77" s="26" t="s">
        <v>1686</v>
      </c>
    </row>
    <row r="78" spans="3:32" x14ac:dyDescent="0.3">
      <c r="I78" t="s">
        <v>213</v>
      </c>
      <c r="J78" t="s">
        <v>1163</v>
      </c>
      <c r="K78" t="s">
        <v>1612</v>
      </c>
      <c r="L78">
        <v>1</v>
      </c>
      <c r="M78" s="109">
        <f t="shared" ref="M78:M93" si="4">INDEX($D$62:$F$63,MATCH(I78,$C$62:$C$63,0),MATCH(J78,$D$61:$F$61,0))</f>
        <v>635.65</v>
      </c>
      <c r="N78">
        <f t="shared" ref="N78:N93" si="5">INDEX($D$32:$F$36,MATCH(K78,$C$32:$C$36,0),MATCH(J78,$D$31:$F$31,0))</f>
        <v>0.8</v>
      </c>
      <c r="O78" s="369">
        <f t="shared" ref="O78:O93" si="6">L78*M78*N78</f>
        <v>508.52</v>
      </c>
      <c r="Q78" s="369">
        <f t="shared" ref="Q78:Q93" si="7">INDEX($J$62:$L$63,MATCH(I78,$I$62:$I$63,0),MATCH(J78,$J$60:$L$60,0))</f>
        <v>540.30250000000001</v>
      </c>
      <c r="R78" s="369">
        <f t="shared" ref="R78:R93" si="8">Q78*L78</f>
        <v>540.30250000000001</v>
      </c>
      <c r="T78" s="369">
        <f t="shared" ref="T78:T93" si="9">INDEX($J$68:$L$69,MATCH(I78,$I$68:$I$69,0),MATCH(J78,$J$66:$L$66,0))</f>
        <v>424.76800000000003</v>
      </c>
      <c r="U78" s="369">
        <f t="shared" ref="U78:U93" si="10">T78*L78</f>
        <v>424.76800000000003</v>
      </c>
      <c r="W78" s="369">
        <f t="shared" ref="W78:W93" si="11">HLOOKUP($J78,$D$61:$F$63,2,0)</f>
        <v>530.96</v>
      </c>
      <c r="X78" s="369">
        <f t="shared" ref="X78:X93" si="12">W78*L78*N78</f>
        <v>424.76800000000003</v>
      </c>
      <c r="Y78" s="9" t="s">
        <v>1685</v>
      </c>
      <c r="Z78" s="9"/>
      <c r="AA78" s="9"/>
      <c r="AB78" s="9"/>
      <c r="AC78" s="9"/>
      <c r="AD78" s="9"/>
      <c r="AE78" s="9"/>
      <c r="AF78" s="9"/>
    </row>
    <row r="79" spans="3:32" x14ac:dyDescent="0.3">
      <c r="I79" t="s">
        <v>213</v>
      </c>
      <c r="J79" t="s">
        <v>1163</v>
      </c>
      <c r="K79" t="s">
        <v>1611</v>
      </c>
      <c r="L79">
        <v>1</v>
      </c>
      <c r="M79" s="109">
        <f t="shared" si="4"/>
        <v>635.65</v>
      </c>
      <c r="N79">
        <f t="shared" si="5"/>
        <v>0.8</v>
      </c>
      <c r="O79" s="369">
        <f t="shared" si="6"/>
        <v>508.52</v>
      </c>
      <c r="Q79" s="369">
        <f t="shared" si="7"/>
        <v>540.30250000000001</v>
      </c>
      <c r="R79" s="369">
        <f t="shared" si="8"/>
        <v>540.30250000000001</v>
      </c>
      <c r="T79" s="369">
        <f t="shared" si="9"/>
        <v>424.76800000000003</v>
      </c>
      <c r="U79" s="369">
        <f t="shared" si="10"/>
        <v>424.76800000000003</v>
      </c>
      <c r="W79" s="369">
        <f t="shared" si="11"/>
        <v>530.96</v>
      </c>
      <c r="X79" s="369">
        <f t="shared" si="12"/>
        <v>424.76800000000003</v>
      </c>
    </row>
    <row r="80" spans="3:32" x14ac:dyDescent="0.3">
      <c r="I80" t="s">
        <v>213</v>
      </c>
      <c r="J80" t="s">
        <v>1163</v>
      </c>
      <c r="K80" t="s">
        <v>1608</v>
      </c>
      <c r="L80">
        <v>1</v>
      </c>
      <c r="M80" s="109">
        <f t="shared" si="4"/>
        <v>635.65</v>
      </c>
      <c r="N80">
        <f t="shared" si="5"/>
        <v>0.75</v>
      </c>
      <c r="O80" s="369">
        <f t="shared" si="6"/>
        <v>476.73749999999995</v>
      </c>
      <c r="Q80" s="369">
        <f t="shared" si="7"/>
        <v>540.30250000000001</v>
      </c>
      <c r="R80" s="369">
        <f t="shared" si="8"/>
        <v>540.30250000000001</v>
      </c>
      <c r="T80" s="369">
        <f t="shared" si="9"/>
        <v>424.76800000000003</v>
      </c>
      <c r="U80" s="369">
        <f t="shared" si="10"/>
        <v>424.76800000000003</v>
      </c>
      <c r="W80" s="369">
        <f t="shared" si="11"/>
        <v>530.96</v>
      </c>
      <c r="X80" s="369">
        <f t="shared" si="12"/>
        <v>398.22</v>
      </c>
    </row>
    <row r="81" spans="9:24" x14ac:dyDescent="0.3">
      <c r="I81" t="s">
        <v>213</v>
      </c>
      <c r="J81" t="s">
        <v>1602</v>
      </c>
      <c r="K81" t="s">
        <v>1611</v>
      </c>
      <c r="L81">
        <v>2</v>
      </c>
      <c r="M81" s="109">
        <f t="shared" si="4"/>
        <v>1303.08</v>
      </c>
      <c r="N81">
        <f t="shared" si="5"/>
        <v>0.75</v>
      </c>
      <c r="O81" s="369">
        <f t="shared" si="6"/>
        <v>1954.62</v>
      </c>
      <c r="Q81" s="369">
        <f t="shared" si="7"/>
        <v>874.01749999999993</v>
      </c>
      <c r="R81" s="369">
        <f t="shared" si="8"/>
        <v>1748.0349999999999</v>
      </c>
      <c r="T81" s="369">
        <f t="shared" si="9"/>
        <v>870.76800000000003</v>
      </c>
      <c r="U81" s="369">
        <f t="shared" si="10"/>
        <v>1741.5360000000001</v>
      </c>
      <c r="W81" s="369">
        <f t="shared" si="11"/>
        <v>1088.46</v>
      </c>
      <c r="X81" s="369">
        <f t="shared" si="12"/>
        <v>1632.69</v>
      </c>
    </row>
    <row r="82" spans="9:24" x14ac:dyDescent="0.3">
      <c r="I82" t="s">
        <v>213</v>
      </c>
      <c r="J82" t="s">
        <v>1602</v>
      </c>
      <c r="K82" t="s">
        <v>1610</v>
      </c>
      <c r="L82">
        <v>1</v>
      </c>
      <c r="M82" s="109">
        <f t="shared" si="4"/>
        <v>1303.08</v>
      </c>
      <c r="N82">
        <f t="shared" si="5"/>
        <v>0.75</v>
      </c>
      <c r="O82" s="369">
        <f t="shared" si="6"/>
        <v>977.31</v>
      </c>
      <c r="Q82" s="369">
        <f t="shared" si="7"/>
        <v>874.01749999999993</v>
      </c>
      <c r="R82" s="369">
        <f t="shared" si="8"/>
        <v>874.01749999999993</v>
      </c>
      <c r="T82" s="369">
        <f t="shared" si="9"/>
        <v>870.76800000000003</v>
      </c>
      <c r="U82" s="369">
        <f t="shared" si="10"/>
        <v>870.76800000000003</v>
      </c>
      <c r="W82" s="369">
        <f t="shared" si="11"/>
        <v>1088.46</v>
      </c>
      <c r="X82" s="369">
        <f t="shared" si="12"/>
        <v>816.34500000000003</v>
      </c>
    </row>
    <row r="83" spans="9:24" x14ac:dyDescent="0.3">
      <c r="I83" t="s">
        <v>213</v>
      </c>
      <c r="J83" t="s">
        <v>1601</v>
      </c>
      <c r="K83" t="s">
        <v>1612</v>
      </c>
      <c r="L83">
        <v>1</v>
      </c>
      <c r="M83" s="109">
        <f t="shared" si="4"/>
        <v>1748.04</v>
      </c>
      <c r="N83">
        <f t="shared" si="5"/>
        <v>0.8</v>
      </c>
      <c r="O83" s="369">
        <f t="shared" si="6"/>
        <v>1398.432</v>
      </c>
      <c r="Q83" s="369">
        <f t="shared" si="7"/>
        <v>1096.4974999999999</v>
      </c>
      <c r="R83" s="369">
        <f t="shared" si="8"/>
        <v>1096.4974999999999</v>
      </c>
      <c r="T83" s="369">
        <f t="shared" si="9"/>
        <v>1168.104</v>
      </c>
      <c r="U83" s="369">
        <f t="shared" si="10"/>
        <v>1168.104</v>
      </c>
      <c r="W83" s="369">
        <f t="shared" si="11"/>
        <v>1460.13</v>
      </c>
      <c r="X83" s="369">
        <f t="shared" si="12"/>
        <v>1168.104</v>
      </c>
    </row>
    <row r="84" spans="9:24" x14ac:dyDescent="0.3">
      <c r="I84" t="s">
        <v>213</v>
      </c>
      <c r="J84" t="s">
        <v>1601</v>
      </c>
      <c r="K84" t="s">
        <v>1611</v>
      </c>
      <c r="L84">
        <v>2</v>
      </c>
      <c r="M84" s="109">
        <f t="shared" si="4"/>
        <v>1748.04</v>
      </c>
      <c r="N84">
        <f t="shared" si="5"/>
        <v>0.75</v>
      </c>
      <c r="O84" s="369">
        <f t="shared" si="6"/>
        <v>2622.06</v>
      </c>
      <c r="Q84" s="369">
        <f t="shared" si="7"/>
        <v>1096.4974999999999</v>
      </c>
      <c r="R84" s="369">
        <f t="shared" si="8"/>
        <v>2192.9949999999999</v>
      </c>
      <c r="T84" s="369">
        <f t="shared" si="9"/>
        <v>1168.104</v>
      </c>
      <c r="U84" s="369">
        <f t="shared" si="10"/>
        <v>2336.2080000000001</v>
      </c>
      <c r="W84" s="369">
        <f t="shared" si="11"/>
        <v>1460.13</v>
      </c>
      <c r="X84" s="369">
        <f t="shared" si="12"/>
        <v>2190.1950000000002</v>
      </c>
    </row>
    <row r="85" spans="9:24" x14ac:dyDescent="0.3">
      <c r="I85" t="s">
        <v>213</v>
      </c>
      <c r="J85" t="s">
        <v>1601</v>
      </c>
      <c r="K85" t="s">
        <v>1610</v>
      </c>
      <c r="L85">
        <v>2</v>
      </c>
      <c r="M85" s="109">
        <f t="shared" si="4"/>
        <v>1748.04</v>
      </c>
      <c r="N85">
        <f t="shared" si="5"/>
        <v>0.75</v>
      </c>
      <c r="O85" s="369">
        <f t="shared" si="6"/>
        <v>2622.06</v>
      </c>
      <c r="Q85" s="369">
        <f t="shared" si="7"/>
        <v>1096.4974999999999</v>
      </c>
      <c r="R85" s="369">
        <f t="shared" si="8"/>
        <v>2192.9949999999999</v>
      </c>
      <c r="T85" s="369">
        <f t="shared" si="9"/>
        <v>1168.104</v>
      </c>
      <c r="U85" s="369">
        <f t="shared" si="10"/>
        <v>2336.2080000000001</v>
      </c>
      <c r="W85" s="369">
        <f t="shared" si="11"/>
        <v>1460.13</v>
      </c>
      <c r="X85" s="369">
        <f t="shared" si="12"/>
        <v>2190.1950000000002</v>
      </c>
    </row>
    <row r="86" spans="9:24" x14ac:dyDescent="0.3">
      <c r="I86" t="s">
        <v>1605</v>
      </c>
      <c r="J86" t="s">
        <v>1163</v>
      </c>
      <c r="K86" t="s">
        <v>1612</v>
      </c>
      <c r="L86">
        <v>3</v>
      </c>
      <c r="M86" s="109">
        <f t="shared" si="4"/>
        <v>530.96</v>
      </c>
      <c r="N86">
        <f t="shared" si="5"/>
        <v>0.8</v>
      </c>
      <c r="O86" s="369">
        <f t="shared" si="6"/>
        <v>1274.3040000000001</v>
      </c>
      <c r="Q86" s="369">
        <f t="shared" si="7"/>
        <v>451.31600000000003</v>
      </c>
      <c r="R86" s="369">
        <f t="shared" si="8"/>
        <v>1353.9480000000001</v>
      </c>
      <c r="T86" s="369">
        <f t="shared" si="9"/>
        <v>424.76800000000003</v>
      </c>
      <c r="U86" s="369">
        <f t="shared" si="10"/>
        <v>1274.3040000000001</v>
      </c>
      <c r="W86" s="369">
        <f t="shared" si="11"/>
        <v>530.96</v>
      </c>
      <c r="X86" s="369">
        <f t="shared" si="12"/>
        <v>1274.3040000000001</v>
      </c>
    </row>
    <row r="87" spans="9:24" x14ac:dyDescent="0.3">
      <c r="I87" t="s">
        <v>1605</v>
      </c>
      <c r="J87" t="s">
        <v>1163</v>
      </c>
      <c r="K87" t="s">
        <v>1611</v>
      </c>
      <c r="L87">
        <v>2</v>
      </c>
      <c r="M87" s="109">
        <f t="shared" si="4"/>
        <v>530.96</v>
      </c>
      <c r="N87">
        <f t="shared" si="5"/>
        <v>0.8</v>
      </c>
      <c r="O87" s="369">
        <f t="shared" si="6"/>
        <v>849.53600000000006</v>
      </c>
      <c r="Q87" s="369">
        <f t="shared" si="7"/>
        <v>451.31600000000003</v>
      </c>
      <c r="R87" s="369">
        <f t="shared" si="8"/>
        <v>902.63200000000006</v>
      </c>
      <c r="T87" s="369">
        <f t="shared" si="9"/>
        <v>424.76800000000003</v>
      </c>
      <c r="U87" s="369">
        <f t="shared" si="10"/>
        <v>849.53600000000006</v>
      </c>
      <c r="W87" s="369">
        <f t="shared" si="11"/>
        <v>530.96</v>
      </c>
      <c r="X87" s="369">
        <f t="shared" si="12"/>
        <v>849.53600000000006</v>
      </c>
    </row>
    <row r="88" spans="9:24" x14ac:dyDescent="0.3">
      <c r="I88" t="s">
        <v>1605</v>
      </c>
      <c r="J88" t="s">
        <v>1163</v>
      </c>
      <c r="K88" t="s">
        <v>1610</v>
      </c>
      <c r="L88">
        <v>7</v>
      </c>
      <c r="M88" s="109">
        <f t="shared" si="4"/>
        <v>530.96</v>
      </c>
      <c r="N88">
        <f t="shared" si="5"/>
        <v>0.8</v>
      </c>
      <c r="O88" s="369">
        <f t="shared" si="6"/>
        <v>2973.3760000000002</v>
      </c>
      <c r="Q88" s="369">
        <f t="shared" si="7"/>
        <v>451.31600000000003</v>
      </c>
      <c r="R88" s="369">
        <f t="shared" si="8"/>
        <v>3159.2120000000004</v>
      </c>
      <c r="T88" s="369">
        <f t="shared" si="9"/>
        <v>424.76800000000003</v>
      </c>
      <c r="U88" s="369">
        <f t="shared" si="10"/>
        <v>2973.3760000000002</v>
      </c>
      <c r="W88" s="369">
        <f t="shared" si="11"/>
        <v>530.96</v>
      </c>
      <c r="X88" s="369">
        <f t="shared" si="12"/>
        <v>2973.3760000000002</v>
      </c>
    </row>
    <row r="89" spans="9:24" x14ac:dyDescent="0.3">
      <c r="I89" t="s">
        <v>1605</v>
      </c>
      <c r="J89" t="s">
        <v>1163</v>
      </c>
      <c r="K89" t="s">
        <v>1613</v>
      </c>
      <c r="L89">
        <v>1</v>
      </c>
      <c r="M89" s="109">
        <f t="shared" si="4"/>
        <v>530.96</v>
      </c>
      <c r="N89">
        <f t="shared" si="5"/>
        <v>0.75</v>
      </c>
      <c r="O89" s="369">
        <f t="shared" si="6"/>
        <v>398.22</v>
      </c>
      <c r="Q89" s="369">
        <f t="shared" si="7"/>
        <v>451.31600000000003</v>
      </c>
      <c r="R89" s="369">
        <f t="shared" si="8"/>
        <v>451.31600000000003</v>
      </c>
      <c r="T89" s="369">
        <f t="shared" si="9"/>
        <v>424.76800000000003</v>
      </c>
      <c r="U89" s="369">
        <f t="shared" si="10"/>
        <v>424.76800000000003</v>
      </c>
      <c r="W89" s="369">
        <f t="shared" si="11"/>
        <v>530.96</v>
      </c>
      <c r="X89" s="369">
        <f t="shared" si="12"/>
        <v>398.22</v>
      </c>
    </row>
    <row r="90" spans="9:24" x14ac:dyDescent="0.3">
      <c r="I90" t="s">
        <v>1605</v>
      </c>
      <c r="J90" t="s">
        <v>1602</v>
      </c>
      <c r="K90" t="s">
        <v>1612</v>
      </c>
      <c r="L90">
        <v>4</v>
      </c>
      <c r="M90" s="109">
        <f t="shared" si="4"/>
        <v>1088.46</v>
      </c>
      <c r="N90">
        <f t="shared" si="5"/>
        <v>0.8</v>
      </c>
      <c r="O90" s="369">
        <f t="shared" si="6"/>
        <v>3483.0720000000001</v>
      </c>
      <c r="Q90" s="369">
        <f t="shared" si="7"/>
        <v>730.06600000000003</v>
      </c>
      <c r="R90" s="369">
        <f t="shared" si="8"/>
        <v>2920.2640000000001</v>
      </c>
      <c r="T90" s="369">
        <f t="shared" si="9"/>
        <v>870.76800000000003</v>
      </c>
      <c r="U90" s="369">
        <f t="shared" si="10"/>
        <v>3483.0720000000001</v>
      </c>
      <c r="W90" s="369">
        <f t="shared" si="11"/>
        <v>1088.46</v>
      </c>
      <c r="X90" s="369">
        <f t="shared" si="12"/>
        <v>3483.0720000000001</v>
      </c>
    </row>
    <row r="91" spans="9:24" x14ac:dyDescent="0.3">
      <c r="I91" t="s">
        <v>1605</v>
      </c>
      <c r="J91" t="s">
        <v>1602</v>
      </c>
      <c r="K91" t="s">
        <v>1611</v>
      </c>
      <c r="L91">
        <v>3</v>
      </c>
      <c r="M91" s="109">
        <f t="shared" si="4"/>
        <v>1088.46</v>
      </c>
      <c r="N91">
        <f t="shared" si="5"/>
        <v>0.75</v>
      </c>
      <c r="O91" s="369">
        <f t="shared" si="6"/>
        <v>2449.0349999999999</v>
      </c>
      <c r="Q91" s="369">
        <f t="shared" si="7"/>
        <v>730.06600000000003</v>
      </c>
      <c r="R91" s="369">
        <f t="shared" si="8"/>
        <v>2190.1980000000003</v>
      </c>
      <c r="T91" s="369">
        <f t="shared" si="9"/>
        <v>870.76800000000003</v>
      </c>
      <c r="U91" s="369">
        <f t="shared" si="10"/>
        <v>2612.3040000000001</v>
      </c>
      <c r="W91" s="369">
        <f t="shared" si="11"/>
        <v>1088.46</v>
      </c>
      <c r="X91" s="369">
        <f t="shared" si="12"/>
        <v>2449.0349999999999</v>
      </c>
    </row>
    <row r="92" spans="9:24" x14ac:dyDescent="0.3">
      <c r="I92" t="s">
        <v>1605</v>
      </c>
      <c r="J92" t="s">
        <v>1602</v>
      </c>
      <c r="K92" t="s">
        <v>1610</v>
      </c>
      <c r="L92">
        <v>1</v>
      </c>
      <c r="M92" s="109">
        <f t="shared" si="4"/>
        <v>1088.46</v>
      </c>
      <c r="N92">
        <f t="shared" si="5"/>
        <v>0.75</v>
      </c>
      <c r="O92" s="369">
        <f t="shared" si="6"/>
        <v>816.34500000000003</v>
      </c>
      <c r="Q92" s="369">
        <f t="shared" si="7"/>
        <v>730.06600000000003</v>
      </c>
      <c r="R92" s="369">
        <f t="shared" si="8"/>
        <v>730.06600000000003</v>
      </c>
      <c r="T92" s="369">
        <f t="shared" si="9"/>
        <v>870.76800000000003</v>
      </c>
      <c r="U92" s="369">
        <f t="shared" si="10"/>
        <v>870.76800000000003</v>
      </c>
      <c r="W92" s="369">
        <f t="shared" si="11"/>
        <v>1088.46</v>
      </c>
      <c r="X92" s="369">
        <f t="shared" si="12"/>
        <v>816.34500000000003</v>
      </c>
    </row>
    <row r="93" spans="9:24" x14ac:dyDescent="0.3">
      <c r="I93" s="26" t="s">
        <v>1605</v>
      </c>
      <c r="J93" s="26" t="s">
        <v>1601</v>
      </c>
      <c r="K93" s="26" t="s">
        <v>1608</v>
      </c>
      <c r="L93" s="26">
        <v>1</v>
      </c>
      <c r="M93" s="181">
        <f t="shared" si="4"/>
        <v>1460.13</v>
      </c>
      <c r="N93" s="26">
        <f t="shared" si="5"/>
        <v>0.65</v>
      </c>
      <c r="O93" s="368">
        <f t="shared" si="6"/>
        <v>949.08450000000005</v>
      </c>
      <c r="P93" s="26"/>
      <c r="Q93" s="368">
        <f t="shared" si="7"/>
        <v>915.90100000000007</v>
      </c>
      <c r="R93" s="368">
        <f t="shared" si="8"/>
        <v>915.90100000000007</v>
      </c>
      <c r="S93" s="26"/>
      <c r="T93" s="368">
        <f t="shared" si="9"/>
        <v>1168.104</v>
      </c>
      <c r="U93" s="368">
        <f t="shared" si="10"/>
        <v>1168.104</v>
      </c>
      <c r="V93" s="26"/>
      <c r="W93" s="368">
        <f t="shared" si="11"/>
        <v>1460.13</v>
      </c>
      <c r="X93" s="368">
        <f t="shared" si="12"/>
        <v>949.08450000000005</v>
      </c>
    </row>
    <row r="94" spans="9:24" x14ac:dyDescent="0.3">
      <c r="O94" s="109">
        <f>SUM(O78:O93)</f>
        <v>24261.232000000004</v>
      </c>
      <c r="Q94" s="109"/>
      <c r="R94" s="109">
        <f>SUM(R78:R93)</f>
        <v>22348.984500000002</v>
      </c>
      <c r="T94" s="109"/>
      <c r="U94" s="109">
        <f>SUM(U78:U93)</f>
        <v>23383.360000000001</v>
      </c>
      <c r="W94" s="109"/>
      <c r="X94" s="109">
        <f>SUM(X78:X93)</f>
        <v>22438.2575</v>
      </c>
    </row>
    <row r="96" spans="9:24" x14ac:dyDescent="0.3">
      <c r="O96" s="12">
        <f>O94/$O$43-1</f>
        <v>5.810546678017392E-2</v>
      </c>
      <c r="R96" s="12">
        <f>R94/$O$43-1</f>
        <v>-2.5293411462560034E-2</v>
      </c>
      <c r="U96" s="12">
        <f>U94/$O$43-1</f>
        <v>1.981882237838728E-2</v>
      </c>
      <c r="X96" s="12">
        <f>X94/$O$43-1</f>
        <v>-2.1399946805206183E-2</v>
      </c>
    </row>
  </sheetData>
  <mergeCells count="5">
    <mergeCell ref="C10:F10"/>
    <mergeCell ref="C22:G22"/>
    <mergeCell ref="I22:M22"/>
    <mergeCell ref="I25:L25"/>
    <mergeCell ref="I76:L7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69D35-EC22-48EF-827A-CB34EEA9835F}">
  <sheetPr>
    <tabColor theme="9" tint="0.59999389629810485"/>
  </sheetPr>
  <dimension ref="A1:X59"/>
  <sheetViews>
    <sheetView topLeftCell="A3" workbookViewId="0">
      <selection activeCell="I48" sqref="I48"/>
    </sheetView>
  </sheetViews>
  <sheetFormatPr defaultRowHeight="14.4" x14ac:dyDescent="0.3"/>
  <cols>
    <col min="3" max="3" width="13.5546875" customWidth="1"/>
    <col min="4" max="4" width="16" bestFit="1" customWidth="1"/>
    <col min="5" max="5" width="15.33203125" customWidth="1"/>
    <col min="9" max="9" width="11.6640625" customWidth="1"/>
    <col min="11" max="11" width="11.88671875" bestFit="1" customWidth="1"/>
    <col min="12" max="12" width="12.109375" customWidth="1"/>
    <col min="13" max="13" width="10.6640625" customWidth="1"/>
    <col min="14" max="15" width="13.109375" customWidth="1"/>
  </cols>
  <sheetData>
    <row r="1" spans="1:8" ht="15" thickBot="1" x14ac:dyDescent="0.35">
      <c r="A1" t="s">
        <v>68</v>
      </c>
      <c r="G1" s="11" t="s">
        <v>13</v>
      </c>
      <c r="H1" s="10"/>
    </row>
    <row r="2" spans="1:8" x14ac:dyDescent="0.3">
      <c r="G2" s="9" t="s">
        <v>12</v>
      </c>
      <c r="H2" s="9"/>
    </row>
    <row r="3" spans="1:8" ht="15" thickBot="1" x14ac:dyDescent="0.35">
      <c r="G3" s="8" t="s">
        <v>11</v>
      </c>
      <c r="H3" s="8"/>
    </row>
    <row r="4" spans="1:8" ht="15.6" thickTop="1" thickBot="1" x14ac:dyDescent="0.35">
      <c r="G4" s="7" t="s">
        <v>10</v>
      </c>
      <c r="H4" s="7"/>
    </row>
    <row r="5" spans="1:8" ht="15" thickTop="1" x14ac:dyDescent="0.3">
      <c r="G5" s="6" t="s">
        <v>9</v>
      </c>
      <c r="H5" s="5"/>
    </row>
    <row r="9" spans="1:8" ht="15" thickBot="1" x14ac:dyDescent="0.35"/>
    <row r="10" spans="1:8" ht="15" thickBot="1" x14ac:dyDescent="0.35">
      <c r="C10" s="375" t="s">
        <v>8</v>
      </c>
      <c r="D10" s="376"/>
      <c r="E10" s="376"/>
      <c r="F10" s="377"/>
    </row>
    <row r="13" spans="1:8" x14ac:dyDescent="0.3">
      <c r="C13">
        <v>50</v>
      </c>
      <c r="D13" t="s">
        <v>67</v>
      </c>
    </row>
    <row r="14" spans="1:8" x14ac:dyDescent="0.3">
      <c r="C14">
        <v>100</v>
      </c>
      <c r="D14" t="s">
        <v>67</v>
      </c>
    </row>
    <row r="15" spans="1:8" x14ac:dyDescent="0.3">
      <c r="C15">
        <v>0.05</v>
      </c>
      <c r="D15" t="s">
        <v>66</v>
      </c>
    </row>
    <row r="21" spans="1:24" ht="15" thickBot="1" x14ac:dyDescent="0.35"/>
    <row r="22" spans="1:24" ht="15" thickBot="1" x14ac:dyDescent="0.35">
      <c r="C22" s="375" t="s">
        <v>4</v>
      </c>
      <c r="D22" s="376"/>
      <c r="E22" s="376"/>
      <c r="F22" s="376"/>
      <c r="G22" s="377"/>
      <c r="I22" s="375" t="s">
        <v>3</v>
      </c>
      <c r="J22" s="376"/>
      <c r="K22" s="376"/>
      <c r="L22" s="376"/>
      <c r="M22" s="377"/>
    </row>
    <row r="24" spans="1:24" s="26" customFormat="1" x14ac:dyDescent="0.3">
      <c r="A24" s="26" t="s">
        <v>65</v>
      </c>
    </row>
    <row r="25" spans="1:24" x14ac:dyDescent="0.3">
      <c r="C25" t="s">
        <v>64</v>
      </c>
    </row>
    <row r="26" spans="1:24" x14ac:dyDescent="0.3">
      <c r="C26" s="14"/>
      <c r="D26" s="14"/>
      <c r="E26" s="52" t="s">
        <v>63</v>
      </c>
      <c r="I26" s="14">
        <v>2020</v>
      </c>
      <c r="J26" s="14" t="s">
        <v>650</v>
      </c>
      <c r="K26" s="390" t="s">
        <v>649</v>
      </c>
      <c r="L26" s="390"/>
      <c r="M26" s="391" t="s">
        <v>648</v>
      </c>
    </row>
    <row r="27" spans="1:24" x14ac:dyDescent="0.3">
      <c r="C27" s="73" t="s">
        <v>62</v>
      </c>
      <c r="D27" s="59" t="s">
        <v>61</v>
      </c>
      <c r="E27" s="68" t="s">
        <v>60</v>
      </c>
      <c r="I27" s="23" t="s">
        <v>647</v>
      </c>
      <c r="J27" s="23" t="s">
        <v>646</v>
      </c>
      <c r="K27" s="23" t="s">
        <v>645</v>
      </c>
      <c r="L27" s="23" t="s">
        <v>644</v>
      </c>
      <c r="M27" s="392"/>
      <c r="N27" s="23" t="s">
        <v>643</v>
      </c>
      <c r="O27" s="23" t="s">
        <v>640</v>
      </c>
    </row>
    <row r="28" spans="1:24" x14ac:dyDescent="0.3">
      <c r="C28" s="80">
        <v>0</v>
      </c>
      <c r="D28" s="79">
        <v>0.15</v>
      </c>
      <c r="E28" s="78">
        <v>0</v>
      </c>
      <c r="I28" s="56">
        <f t="shared" ref="I28:I33" si="0">E28*(1+$C$15)</f>
        <v>0</v>
      </c>
      <c r="J28" s="56">
        <f t="shared" ref="J28:J33" si="1">I28*D28</f>
        <v>0</v>
      </c>
      <c r="K28" s="136">
        <f>SUM(D28:$D$33)</f>
        <v>0.99999999999999989</v>
      </c>
      <c r="L28" s="56">
        <f>SUM($J28:J$33)</f>
        <v>162.00219000000001</v>
      </c>
      <c r="M28" s="88">
        <v>0</v>
      </c>
      <c r="N28" s="88"/>
    </row>
    <row r="29" spans="1:24" x14ac:dyDescent="0.3">
      <c r="C29" s="72" t="s">
        <v>59</v>
      </c>
      <c r="D29" s="77">
        <v>0.25</v>
      </c>
      <c r="E29" s="76">
        <v>19.05</v>
      </c>
      <c r="I29" s="56">
        <f t="shared" si="0"/>
        <v>20.002500000000001</v>
      </c>
      <c r="J29" s="56">
        <f t="shared" si="1"/>
        <v>5.0006250000000003</v>
      </c>
      <c r="K29" s="136">
        <f>SUM(D29:$D$33)</f>
        <v>0.85</v>
      </c>
      <c r="L29" s="56">
        <f>SUM($J29:J$33)</f>
        <v>162.00219000000001</v>
      </c>
      <c r="M29" s="88">
        <v>50</v>
      </c>
      <c r="N29" s="88">
        <f>M29</f>
        <v>50</v>
      </c>
      <c r="O29" s="56">
        <f>$L$28-(L30-N29*K30)</f>
        <v>35.000625000000014</v>
      </c>
      <c r="Q29" s="56"/>
    </row>
    <row r="30" spans="1:24" x14ac:dyDescent="0.3">
      <c r="C30" s="72" t="s">
        <v>58</v>
      </c>
      <c r="D30" s="77">
        <v>0.3</v>
      </c>
      <c r="E30" s="76">
        <v>66.67</v>
      </c>
      <c r="I30" s="56">
        <f t="shared" si="0"/>
        <v>70.003500000000003</v>
      </c>
      <c r="J30" s="56">
        <f t="shared" si="1"/>
        <v>21.001049999999999</v>
      </c>
      <c r="K30" s="136">
        <f>SUM(D30:$D$33)</f>
        <v>0.6</v>
      </c>
      <c r="L30" s="56">
        <f>SUM($J30:J$33)</f>
        <v>157.001565</v>
      </c>
      <c r="M30" s="88">
        <v>150</v>
      </c>
      <c r="N30" s="88">
        <f>M30</f>
        <v>150</v>
      </c>
      <c r="O30" s="56">
        <f>$L$28-(L31-N30*K31)</f>
        <v>71.001675000000006</v>
      </c>
      <c r="P30" s="9" t="s">
        <v>642</v>
      </c>
      <c r="Q30" s="9"/>
      <c r="R30" s="9"/>
      <c r="S30" s="9"/>
      <c r="T30" s="9"/>
      <c r="U30" s="9"/>
      <c r="V30" s="9"/>
      <c r="W30" s="9"/>
      <c r="X30" s="9"/>
    </row>
    <row r="31" spans="1:24" x14ac:dyDescent="0.3">
      <c r="C31" s="72" t="s">
        <v>57</v>
      </c>
      <c r="D31" s="77">
        <v>0.2</v>
      </c>
      <c r="E31" s="76">
        <v>238.1</v>
      </c>
      <c r="I31" s="56">
        <f t="shared" si="0"/>
        <v>250.005</v>
      </c>
      <c r="J31" s="56">
        <f t="shared" si="1"/>
        <v>50.001000000000005</v>
      </c>
      <c r="K31" s="136">
        <f>SUM(D31:$D$33)</f>
        <v>0.30000000000000004</v>
      </c>
      <c r="L31" s="56">
        <f>SUM($J31:J$33)</f>
        <v>136.00051500000001</v>
      </c>
      <c r="M31" s="88">
        <v>500</v>
      </c>
      <c r="N31" s="88"/>
    </row>
    <row r="32" spans="1:24" x14ac:dyDescent="0.3">
      <c r="C32" s="72" t="s">
        <v>56</v>
      </c>
      <c r="D32" s="77">
        <v>9.5000000000000001E-2</v>
      </c>
      <c r="E32" s="76">
        <v>761.9</v>
      </c>
      <c r="I32" s="56">
        <f t="shared" si="0"/>
        <v>799.995</v>
      </c>
      <c r="J32" s="56">
        <f t="shared" si="1"/>
        <v>75.999525000000006</v>
      </c>
      <c r="K32" s="136">
        <f>SUM(D32:$D$33)</f>
        <v>0.1</v>
      </c>
      <c r="L32" s="56">
        <f>SUM($J32:J$33)</f>
        <v>85.999515000000002</v>
      </c>
      <c r="M32" s="88">
        <v>1500</v>
      </c>
      <c r="N32" s="88"/>
    </row>
    <row r="33" spans="1:23" x14ac:dyDescent="0.3">
      <c r="C33" s="24" t="s">
        <v>55</v>
      </c>
      <c r="D33" s="75">
        <v>5.0000000000000001E-3</v>
      </c>
      <c r="E33" s="74">
        <v>1904.76</v>
      </c>
      <c r="I33" s="56">
        <f t="shared" si="0"/>
        <v>1999.998</v>
      </c>
      <c r="J33" s="56">
        <f t="shared" si="1"/>
        <v>9.9999900000000004</v>
      </c>
      <c r="K33" s="136">
        <f>SUM(D33:$D$33)</f>
        <v>5.0000000000000001E-3</v>
      </c>
      <c r="L33" s="56">
        <f>SUM($J33:J$33)</f>
        <v>9.9999900000000004</v>
      </c>
      <c r="M33" s="88"/>
      <c r="N33" s="88"/>
    </row>
    <row r="37" spans="1:23" x14ac:dyDescent="0.3">
      <c r="M37" t="s">
        <v>641</v>
      </c>
      <c r="N37" t="s">
        <v>640</v>
      </c>
    </row>
    <row r="38" spans="1:23" x14ac:dyDescent="0.3">
      <c r="M38" s="88">
        <v>50</v>
      </c>
      <c r="N38" s="5">
        <f>O29</f>
        <v>35.000625000000014</v>
      </c>
    </row>
    <row r="40" spans="1:23" x14ac:dyDescent="0.3">
      <c r="M40" s="88">
        <v>100</v>
      </c>
      <c r="N40" s="5">
        <f>(O29+O30)/2</f>
        <v>53.00115000000001</v>
      </c>
      <c r="O40" s="9" t="s">
        <v>639</v>
      </c>
      <c r="P40" s="9"/>
      <c r="Q40" s="9"/>
      <c r="R40" s="9"/>
      <c r="S40" s="9"/>
      <c r="T40" s="9"/>
      <c r="U40" s="9"/>
      <c r="V40" s="9"/>
      <c r="W40" s="9"/>
    </row>
    <row r="41" spans="1:23" s="26" customFormat="1" x14ac:dyDescent="0.3">
      <c r="A41" s="26" t="s">
        <v>54</v>
      </c>
    </row>
    <row r="43" spans="1:23" x14ac:dyDescent="0.3">
      <c r="I43" s="135" t="s">
        <v>638</v>
      </c>
    </row>
    <row r="44" spans="1:23" x14ac:dyDescent="0.3">
      <c r="C44" t="s">
        <v>53</v>
      </c>
      <c r="I44" s="134" t="s">
        <v>637</v>
      </c>
      <c r="J44" s="9"/>
      <c r="K44" s="9"/>
      <c r="L44" s="9"/>
      <c r="M44" s="9"/>
    </row>
    <row r="45" spans="1:23" x14ac:dyDescent="0.3">
      <c r="C45" s="73" t="s">
        <v>52</v>
      </c>
      <c r="D45" s="59" t="s">
        <v>51</v>
      </c>
      <c r="E45" s="67" t="s">
        <v>50</v>
      </c>
      <c r="I45" s="134" t="s">
        <v>636</v>
      </c>
      <c r="J45" s="9"/>
      <c r="K45" s="9"/>
      <c r="L45" s="9"/>
      <c r="M45" s="9"/>
      <c r="N45" s="9"/>
    </row>
    <row r="46" spans="1:23" x14ac:dyDescent="0.3">
      <c r="C46" s="72" t="s">
        <v>49</v>
      </c>
      <c r="D46" s="71">
        <v>0.35</v>
      </c>
      <c r="E46" s="70">
        <v>0.4</v>
      </c>
      <c r="I46" s="134" t="s">
        <v>635</v>
      </c>
      <c r="J46" s="9"/>
      <c r="K46" s="9"/>
      <c r="L46" s="9"/>
      <c r="M46" s="9"/>
      <c r="N46" s="9"/>
      <c r="O46" s="9"/>
      <c r="P46" s="9"/>
      <c r="Q46" s="9"/>
      <c r="R46" s="9"/>
    </row>
    <row r="47" spans="1:23" x14ac:dyDescent="0.3">
      <c r="C47" s="72" t="s">
        <v>48</v>
      </c>
      <c r="D47" s="71">
        <v>0.2</v>
      </c>
      <c r="E47" s="70">
        <v>0.65</v>
      </c>
    </row>
    <row r="48" spans="1:23" x14ac:dyDescent="0.3">
      <c r="C48" s="24" t="s">
        <v>47</v>
      </c>
      <c r="D48" s="69">
        <v>0.05</v>
      </c>
      <c r="E48" s="68" t="s">
        <v>46</v>
      </c>
    </row>
    <row r="49" spans="3:16" x14ac:dyDescent="0.3">
      <c r="I49" s="25" t="s">
        <v>634</v>
      </c>
    </row>
    <row r="50" spans="3:16" x14ac:dyDescent="0.3">
      <c r="C50" s="44"/>
      <c r="D50" s="387" t="s">
        <v>45</v>
      </c>
      <c r="E50" s="386"/>
      <c r="I50" s="95">
        <v>0.4</v>
      </c>
      <c r="J50" t="s">
        <v>633</v>
      </c>
    </row>
    <row r="51" spans="3:16" x14ac:dyDescent="0.3">
      <c r="C51" s="64"/>
      <c r="D51" s="388" t="s">
        <v>44</v>
      </c>
      <c r="E51" s="389" t="s">
        <v>43</v>
      </c>
    </row>
    <row r="52" spans="3:16" x14ac:dyDescent="0.3">
      <c r="C52" s="61" t="s">
        <v>42</v>
      </c>
      <c r="D52" s="388"/>
      <c r="E52" s="389"/>
      <c r="I52" s="14"/>
      <c r="J52" s="14"/>
      <c r="K52" s="14" t="s">
        <v>632</v>
      </c>
      <c r="L52" s="14" t="s">
        <v>631</v>
      </c>
      <c r="M52" s="14"/>
      <c r="N52" s="14" t="s">
        <v>630</v>
      </c>
      <c r="O52" s="14" t="s">
        <v>629</v>
      </c>
    </row>
    <row r="53" spans="3:16" x14ac:dyDescent="0.3">
      <c r="C53" s="64" t="s">
        <v>40</v>
      </c>
      <c r="D53" s="65">
        <v>4500</v>
      </c>
      <c r="E53" s="62">
        <v>75</v>
      </c>
      <c r="I53" s="23"/>
      <c r="J53" s="23" t="s">
        <v>628</v>
      </c>
      <c r="K53" s="23" t="s">
        <v>626</v>
      </c>
      <c r="L53" s="23" t="s">
        <v>626</v>
      </c>
      <c r="M53" s="23" t="s">
        <v>627</v>
      </c>
      <c r="N53" s="23" t="s">
        <v>626</v>
      </c>
      <c r="O53" s="23" t="s">
        <v>626</v>
      </c>
    </row>
    <row r="54" spans="3:16" x14ac:dyDescent="0.3">
      <c r="C54" s="64" t="s">
        <v>39</v>
      </c>
      <c r="D54" s="63">
        <v>1500</v>
      </c>
      <c r="E54" s="62">
        <v>238</v>
      </c>
      <c r="I54" s="14" t="s">
        <v>40</v>
      </c>
      <c r="J54" s="130">
        <f t="shared" ref="J54:K56" si="2">D53</f>
        <v>4500</v>
      </c>
      <c r="K54" s="1">
        <f t="shared" si="2"/>
        <v>75</v>
      </c>
      <c r="L54" s="15">
        <f>K54*((1-$I$50)/(1-$D$46))</f>
        <v>69.230769230769226</v>
      </c>
      <c r="M54" s="2">
        <f>C59</f>
        <v>0</v>
      </c>
      <c r="N54" s="15">
        <f>L54*(1-M54)</f>
        <v>69.230769230769226</v>
      </c>
      <c r="O54" s="15">
        <f>N54*J54/12000</f>
        <v>25.96153846153846</v>
      </c>
      <c r="P54" s="56"/>
    </row>
    <row r="55" spans="3:16" x14ac:dyDescent="0.3">
      <c r="C55" s="61" t="s">
        <v>38</v>
      </c>
      <c r="D55" s="61">
        <v>500</v>
      </c>
      <c r="E55" s="60">
        <v>2500</v>
      </c>
      <c r="I55" s="14" t="s">
        <v>39</v>
      </c>
      <c r="J55" s="130">
        <f t="shared" si="2"/>
        <v>1500</v>
      </c>
      <c r="K55" s="1">
        <f t="shared" si="2"/>
        <v>238</v>
      </c>
      <c r="L55" s="15">
        <f>K55*((1-$I$50)/(1-$D$46))</f>
        <v>219.69230769230768</v>
      </c>
      <c r="M55" s="2">
        <f>D59</f>
        <v>0.2</v>
      </c>
      <c r="N55" s="15">
        <f>L55*(1-M55)</f>
        <v>175.75384615384615</v>
      </c>
      <c r="O55" s="15">
        <f>N55*J55/12000</f>
        <v>21.969230769230769</v>
      </c>
      <c r="P55" s="56"/>
    </row>
    <row r="56" spans="3:16" x14ac:dyDescent="0.3">
      <c r="I56" s="23" t="s">
        <v>38</v>
      </c>
      <c r="J56" s="133">
        <f t="shared" si="2"/>
        <v>500</v>
      </c>
      <c r="K56" s="17">
        <f t="shared" si="2"/>
        <v>2500</v>
      </c>
      <c r="L56" s="132">
        <f>K56*((1-$I$50)/(1-$D$46))</f>
        <v>2307.6923076923076</v>
      </c>
      <c r="M56" s="19">
        <f>E59</f>
        <v>0.5</v>
      </c>
      <c r="N56" s="132">
        <f>L56*(1-M56)</f>
        <v>1153.8461538461538</v>
      </c>
      <c r="O56" s="132">
        <f>N56*J56/12000</f>
        <v>48.076923076923073</v>
      </c>
      <c r="P56" s="56"/>
    </row>
    <row r="57" spans="3:16" x14ac:dyDescent="0.3">
      <c r="C57" s="386" t="s">
        <v>41</v>
      </c>
      <c r="D57" s="386"/>
      <c r="E57" s="386"/>
      <c r="I57" s="14" t="s">
        <v>625</v>
      </c>
      <c r="J57" s="14"/>
      <c r="K57" s="14"/>
      <c r="L57" s="14"/>
      <c r="M57" s="15"/>
      <c r="N57" s="14"/>
      <c r="O57" s="5">
        <f>SUM(O54:O56)</f>
        <v>96.007692307692309</v>
      </c>
      <c r="P57" s="56"/>
    </row>
    <row r="58" spans="3:16" x14ac:dyDescent="0.3">
      <c r="C58" s="59" t="s">
        <v>40</v>
      </c>
      <c r="D58" s="59" t="s">
        <v>39</v>
      </c>
      <c r="E58" s="59" t="s">
        <v>38</v>
      </c>
    </row>
    <row r="59" spans="3:16" x14ac:dyDescent="0.3">
      <c r="C59" s="58">
        <v>0</v>
      </c>
      <c r="D59" s="58">
        <v>0.2</v>
      </c>
      <c r="E59" s="58">
        <v>0.5</v>
      </c>
    </row>
  </sheetData>
  <mergeCells count="9">
    <mergeCell ref="C57:E57"/>
    <mergeCell ref="C10:F10"/>
    <mergeCell ref="C22:G22"/>
    <mergeCell ref="I22:M22"/>
    <mergeCell ref="K26:L26"/>
    <mergeCell ref="M26:M27"/>
    <mergeCell ref="D50:E50"/>
    <mergeCell ref="D51:D52"/>
    <mergeCell ref="E51:E52"/>
  </mergeCells>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3C8CD-EAE5-4839-89D5-2452B255E5B1}">
  <sheetPr>
    <tabColor theme="5" tint="0.39997558519241921"/>
  </sheetPr>
  <dimension ref="A1:N41"/>
  <sheetViews>
    <sheetView workbookViewId="0">
      <selection activeCell="G44" sqref="G44"/>
    </sheetView>
  </sheetViews>
  <sheetFormatPr defaultRowHeight="14.4" x14ac:dyDescent="0.3"/>
  <cols>
    <col min="3" max="3" width="10.109375" bestFit="1" customWidth="1"/>
    <col min="4" max="4" width="16.33203125" customWidth="1"/>
    <col min="5" max="8" width="11.6640625" customWidth="1"/>
    <col min="12" max="15" width="11.109375" customWidth="1"/>
    <col min="16" max="16" width="12.88671875" customWidth="1"/>
  </cols>
  <sheetData>
    <row r="1" spans="1:14" ht="15" thickBot="1" x14ac:dyDescent="0.35">
      <c r="A1" t="s">
        <v>1648</v>
      </c>
      <c r="H1" s="11" t="s">
        <v>13</v>
      </c>
      <c r="I1" s="10"/>
    </row>
    <row r="2" spans="1:14" x14ac:dyDescent="0.3">
      <c r="H2" s="9" t="s">
        <v>12</v>
      </c>
      <c r="I2" s="9"/>
    </row>
    <row r="3" spans="1:14" ht="15" thickBot="1" x14ac:dyDescent="0.35">
      <c r="H3" s="8" t="s">
        <v>11</v>
      </c>
      <c r="I3" s="8"/>
    </row>
    <row r="4" spans="1:14" ht="15.6" thickTop="1" thickBot="1" x14ac:dyDescent="0.35">
      <c r="H4" s="7" t="s">
        <v>10</v>
      </c>
      <c r="I4" s="7"/>
    </row>
    <row r="5" spans="1:14" ht="15" thickTop="1" x14ac:dyDescent="0.3">
      <c r="H5" s="6" t="s">
        <v>9</v>
      </c>
      <c r="I5" s="5"/>
    </row>
    <row r="7" spans="1:14" ht="15" thickBot="1" x14ac:dyDescent="0.35"/>
    <row r="8" spans="1:14" ht="15" thickBot="1" x14ac:dyDescent="0.35">
      <c r="C8" s="375" t="s">
        <v>4</v>
      </c>
      <c r="D8" s="376"/>
      <c r="E8" s="376"/>
      <c r="F8" s="376"/>
      <c r="G8" s="376"/>
      <c r="H8" s="377"/>
      <c r="J8" s="375" t="s">
        <v>3</v>
      </c>
      <c r="K8" s="376"/>
      <c r="L8" s="376"/>
      <c r="M8" s="376"/>
      <c r="N8" s="377"/>
    </row>
    <row r="9" spans="1:14" x14ac:dyDescent="0.3">
      <c r="A9" t="s">
        <v>1647</v>
      </c>
    </row>
    <row r="10" spans="1:14" ht="72" x14ac:dyDescent="0.3">
      <c r="C10" s="154" t="s">
        <v>1646</v>
      </c>
      <c r="D10" s="3" t="s">
        <v>1645</v>
      </c>
      <c r="E10" s="3" t="s">
        <v>1644</v>
      </c>
      <c r="F10" s="3" t="s">
        <v>1643</v>
      </c>
      <c r="G10" s="3" t="s">
        <v>1642</v>
      </c>
      <c r="H10" s="3" t="s">
        <v>1641</v>
      </c>
    </row>
    <row r="11" spans="1:14" x14ac:dyDescent="0.3">
      <c r="C11" t="s">
        <v>74</v>
      </c>
      <c r="D11" t="s">
        <v>1640</v>
      </c>
      <c r="E11" s="92">
        <v>6300</v>
      </c>
      <c r="F11" s="100">
        <v>765</v>
      </c>
      <c r="G11" s="55">
        <v>0.79</v>
      </c>
      <c r="H11">
        <v>1</v>
      </c>
    </row>
    <row r="12" spans="1:14" x14ac:dyDescent="0.3">
      <c r="C12" t="s">
        <v>74</v>
      </c>
      <c r="D12" t="s">
        <v>1639</v>
      </c>
      <c r="E12" s="92">
        <v>5750</v>
      </c>
      <c r="F12" t="s">
        <v>1638</v>
      </c>
      <c r="G12" s="55">
        <v>0.77</v>
      </c>
      <c r="H12">
        <v>1</v>
      </c>
    </row>
    <row r="13" spans="1:14" x14ac:dyDescent="0.3">
      <c r="C13" t="s">
        <v>73</v>
      </c>
      <c r="D13" t="s">
        <v>1637</v>
      </c>
      <c r="E13" s="92">
        <v>2100</v>
      </c>
      <c r="F13" s="100">
        <v>1150</v>
      </c>
      <c r="G13" s="55">
        <v>0.86</v>
      </c>
      <c r="H13">
        <v>0.98</v>
      </c>
    </row>
    <row r="14" spans="1:14" x14ac:dyDescent="0.3">
      <c r="C14" t="s">
        <v>73</v>
      </c>
      <c r="D14" t="s">
        <v>1636</v>
      </c>
      <c r="E14" s="92">
        <v>6300</v>
      </c>
      <c r="F14" s="100">
        <v>709</v>
      </c>
      <c r="G14" s="55">
        <v>0.77</v>
      </c>
      <c r="H14">
        <v>0.98</v>
      </c>
    </row>
    <row r="20" spans="1:7" s="26" customFormat="1" x14ac:dyDescent="0.3">
      <c r="A20" s="26" t="s">
        <v>168</v>
      </c>
    </row>
    <row r="22" spans="1:7" ht="15" thickBot="1" x14ac:dyDescent="0.35"/>
    <row r="23" spans="1:7" ht="15" thickBot="1" x14ac:dyDescent="0.35">
      <c r="C23" s="375" t="s">
        <v>8</v>
      </c>
      <c r="D23" s="376"/>
      <c r="E23" s="376"/>
      <c r="F23" s="376"/>
      <c r="G23" s="377"/>
    </row>
    <row r="25" spans="1:7" x14ac:dyDescent="0.3">
      <c r="D25" t="s">
        <v>1635</v>
      </c>
    </row>
    <row r="26" spans="1:7" x14ac:dyDescent="0.3">
      <c r="D26" t="s">
        <v>1634</v>
      </c>
    </row>
    <row r="27" spans="1:7" x14ac:dyDescent="0.3">
      <c r="D27" t="s">
        <v>1633</v>
      </c>
    </row>
    <row r="28" spans="1:7" x14ac:dyDescent="0.3">
      <c r="D28" t="s">
        <v>1632</v>
      </c>
    </row>
    <row r="29" spans="1:7" x14ac:dyDescent="0.3">
      <c r="C29">
        <v>6</v>
      </c>
      <c r="D29" t="s">
        <v>1631</v>
      </c>
    </row>
    <row r="30" spans="1:7" x14ac:dyDescent="0.3">
      <c r="D30" t="s">
        <v>1630</v>
      </c>
    </row>
    <row r="31" spans="1:7" x14ac:dyDescent="0.3">
      <c r="C31" s="92">
        <v>30000</v>
      </c>
      <c r="D31" t="s">
        <v>1629</v>
      </c>
    </row>
    <row r="32" spans="1:7" ht="15" thickBot="1" x14ac:dyDescent="0.35"/>
    <row r="33" spans="3:8" ht="15" thickBot="1" x14ac:dyDescent="0.35">
      <c r="C33" s="375" t="s">
        <v>4</v>
      </c>
      <c r="D33" s="376"/>
      <c r="E33" s="376"/>
      <c r="F33" s="376"/>
      <c r="G33" s="376"/>
      <c r="H33" s="377"/>
    </row>
    <row r="35" spans="3:8" ht="57.6" x14ac:dyDescent="0.3">
      <c r="C35" s="154" t="s">
        <v>1628</v>
      </c>
      <c r="D35" s="3" t="s">
        <v>1627</v>
      </c>
      <c r="E35" s="3" t="s">
        <v>1626</v>
      </c>
      <c r="F35" s="3" t="s">
        <v>1625</v>
      </c>
      <c r="G35" s="3" t="s">
        <v>1624</v>
      </c>
    </row>
    <row r="36" spans="3:8" x14ac:dyDescent="0.3">
      <c r="C36" s="14" t="s">
        <v>475</v>
      </c>
      <c r="D36" s="92">
        <v>26000</v>
      </c>
      <c r="E36" s="55">
        <v>0.79</v>
      </c>
      <c r="F36" s="177">
        <v>92</v>
      </c>
      <c r="G36" s="92">
        <v>24000</v>
      </c>
    </row>
    <row r="37" spans="3:8" x14ac:dyDescent="0.3">
      <c r="C37" s="14" t="s">
        <v>1623</v>
      </c>
      <c r="D37" s="92">
        <v>600</v>
      </c>
      <c r="E37" s="55">
        <v>0.75</v>
      </c>
      <c r="F37" s="177">
        <v>400</v>
      </c>
      <c r="G37" s="92">
        <v>500</v>
      </c>
    </row>
    <row r="38" spans="3:8" x14ac:dyDescent="0.3">
      <c r="C38" s="14"/>
      <c r="D38" s="92"/>
      <c r="E38" s="55"/>
      <c r="F38" s="177"/>
      <c r="G38" s="92"/>
    </row>
    <row r="39" spans="3:8" x14ac:dyDescent="0.3">
      <c r="C39" t="s">
        <v>1622</v>
      </c>
    </row>
    <row r="40" spans="3:8" ht="15" thickBot="1" x14ac:dyDescent="0.35"/>
    <row r="41" spans="3:8" ht="15" thickBot="1" x14ac:dyDescent="0.35">
      <c r="C41" s="375" t="s">
        <v>3</v>
      </c>
      <c r="D41" s="376"/>
      <c r="E41" s="376"/>
      <c r="F41" s="376"/>
      <c r="G41" s="376"/>
      <c r="H41" s="377"/>
    </row>
  </sheetData>
  <mergeCells count="5">
    <mergeCell ref="C8:H8"/>
    <mergeCell ref="J8:N8"/>
    <mergeCell ref="C23:G23"/>
    <mergeCell ref="C33:H33"/>
    <mergeCell ref="C41:H41"/>
  </mergeCells>
  <pageMargins left="0.7" right="0.7" top="0.75" bottom="0.7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AFDBC-C6FC-42DC-BD04-C551CE5CB091}">
  <sheetPr>
    <tabColor theme="9" tint="0.59999389629810485"/>
  </sheetPr>
  <dimension ref="A1:P56"/>
  <sheetViews>
    <sheetView workbookViewId="0">
      <selection activeCell="D29" sqref="D29"/>
    </sheetView>
  </sheetViews>
  <sheetFormatPr defaultRowHeight="14.4" x14ac:dyDescent="0.3"/>
  <cols>
    <col min="3" max="3" width="10.109375" bestFit="1" customWidth="1"/>
    <col min="4" max="4" width="16.33203125" customWidth="1"/>
    <col min="5" max="8" width="11.6640625" customWidth="1"/>
    <col min="12" max="15" width="11.109375" customWidth="1"/>
    <col min="16" max="16" width="12.88671875" customWidth="1"/>
  </cols>
  <sheetData>
    <row r="1" spans="1:16" ht="15" thickBot="1" x14ac:dyDescent="0.35">
      <c r="A1" t="s">
        <v>1648</v>
      </c>
      <c r="H1" s="11" t="s">
        <v>13</v>
      </c>
      <c r="I1" s="10"/>
    </row>
    <row r="2" spans="1:16" x14ac:dyDescent="0.3">
      <c r="H2" s="9" t="s">
        <v>12</v>
      </c>
      <c r="I2" s="9"/>
    </row>
    <row r="3" spans="1:16" ht="15" thickBot="1" x14ac:dyDescent="0.35">
      <c r="H3" s="8" t="s">
        <v>11</v>
      </c>
      <c r="I3" s="8"/>
    </row>
    <row r="4" spans="1:16" ht="15.6" thickTop="1" thickBot="1" x14ac:dyDescent="0.35">
      <c r="H4" s="7" t="s">
        <v>10</v>
      </c>
      <c r="I4" s="7"/>
    </row>
    <row r="5" spans="1:16" ht="15" thickTop="1" x14ac:dyDescent="0.3">
      <c r="H5" s="6" t="s">
        <v>9</v>
      </c>
      <c r="I5" s="5"/>
    </row>
    <row r="7" spans="1:16" ht="15" thickBot="1" x14ac:dyDescent="0.35"/>
    <row r="8" spans="1:16" ht="15" thickBot="1" x14ac:dyDescent="0.35">
      <c r="C8" s="375" t="s">
        <v>4</v>
      </c>
      <c r="D8" s="376"/>
      <c r="E8" s="376"/>
      <c r="F8" s="376"/>
      <c r="G8" s="376"/>
      <c r="H8" s="377"/>
      <c r="J8" s="375" t="s">
        <v>3</v>
      </c>
      <c r="K8" s="376"/>
      <c r="L8" s="376"/>
      <c r="M8" s="376"/>
      <c r="N8" s="377"/>
    </row>
    <row r="9" spans="1:16" x14ac:dyDescent="0.3">
      <c r="A9" t="s">
        <v>1647</v>
      </c>
    </row>
    <row r="10" spans="1:16" ht="72" x14ac:dyDescent="0.3">
      <c r="C10" s="154" t="s">
        <v>1646</v>
      </c>
      <c r="D10" s="3" t="s">
        <v>1645</v>
      </c>
      <c r="E10" s="3" t="s">
        <v>1644</v>
      </c>
      <c r="F10" s="3" t="s">
        <v>1643</v>
      </c>
      <c r="G10" s="3" t="s">
        <v>1642</v>
      </c>
      <c r="H10" s="3" t="s">
        <v>1641</v>
      </c>
      <c r="J10" s="154" t="s">
        <v>1646</v>
      </c>
      <c r="K10" s="3" t="s">
        <v>1645</v>
      </c>
      <c r="L10" s="3" t="s">
        <v>1644</v>
      </c>
      <c r="M10" s="3" t="s">
        <v>1643</v>
      </c>
      <c r="N10" s="3" t="s">
        <v>1642</v>
      </c>
      <c r="O10" s="3" t="s">
        <v>1641</v>
      </c>
      <c r="P10" s="3" t="s">
        <v>1704</v>
      </c>
    </row>
    <row r="11" spans="1:16" x14ac:dyDescent="0.3">
      <c r="C11" t="s">
        <v>74</v>
      </c>
      <c r="D11" t="s">
        <v>1640</v>
      </c>
      <c r="E11" s="92">
        <v>6300</v>
      </c>
      <c r="F11" s="100">
        <v>765</v>
      </c>
      <c r="G11" s="55">
        <v>0.79</v>
      </c>
      <c r="H11">
        <v>1</v>
      </c>
      <c r="J11" t="s">
        <v>74</v>
      </c>
      <c r="K11" t="s">
        <v>1640</v>
      </c>
      <c r="L11" s="151">
        <f>E11</f>
        <v>6300</v>
      </c>
      <c r="M11" s="151">
        <f>F11</f>
        <v>765</v>
      </c>
      <c r="N11" s="55">
        <f>G11</f>
        <v>0.79</v>
      </c>
      <c r="O11" s="171">
        <f>H11</f>
        <v>1</v>
      </c>
      <c r="P11" s="98">
        <f>$N$11/N11</f>
        <v>1</v>
      </c>
    </row>
    <row r="12" spans="1:16" x14ac:dyDescent="0.3">
      <c r="C12" t="s">
        <v>74</v>
      </c>
      <c r="D12" t="s">
        <v>1639</v>
      </c>
      <c r="E12" s="92">
        <v>5750</v>
      </c>
      <c r="F12" t="s">
        <v>1638</v>
      </c>
      <c r="G12" s="55">
        <v>0.77</v>
      </c>
      <c r="H12">
        <v>1</v>
      </c>
      <c r="J12" t="s">
        <v>74</v>
      </c>
      <c r="K12" t="s">
        <v>1639</v>
      </c>
      <c r="L12" s="151">
        <f>E12</f>
        <v>5750</v>
      </c>
      <c r="M12" s="151">
        <v>694</v>
      </c>
      <c r="N12" s="55">
        <f t="shared" ref="N12:O14" si="0">G12</f>
        <v>0.77</v>
      </c>
      <c r="O12" s="171">
        <f t="shared" si="0"/>
        <v>1</v>
      </c>
      <c r="P12" s="98">
        <f>$N$11/N12</f>
        <v>1.025974025974026</v>
      </c>
    </row>
    <row r="13" spans="1:16" x14ac:dyDescent="0.3">
      <c r="C13" t="s">
        <v>73</v>
      </c>
      <c r="D13" t="s">
        <v>1637</v>
      </c>
      <c r="E13" s="92">
        <v>2100</v>
      </c>
      <c r="F13" s="100">
        <v>1150</v>
      </c>
      <c r="G13" s="55">
        <v>0.86</v>
      </c>
      <c r="H13">
        <v>0.98</v>
      </c>
      <c r="J13" t="s">
        <v>73</v>
      </c>
      <c r="K13" t="s">
        <v>1637</v>
      </c>
      <c r="L13" s="151">
        <f>E13</f>
        <v>2100</v>
      </c>
      <c r="M13" s="151">
        <f>F13</f>
        <v>1150</v>
      </c>
      <c r="N13" s="55">
        <f t="shared" si="0"/>
        <v>0.86</v>
      </c>
      <c r="O13" s="171">
        <f t="shared" si="0"/>
        <v>0.98</v>
      </c>
      <c r="P13" s="98">
        <f>$N$11/N13</f>
        <v>0.91860465116279078</v>
      </c>
    </row>
    <row r="14" spans="1:16" x14ac:dyDescent="0.3">
      <c r="C14" t="s">
        <v>73</v>
      </c>
      <c r="D14" t="s">
        <v>1636</v>
      </c>
      <c r="E14" s="92">
        <v>6300</v>
      </c>
      <c r="F14" s="100">
        <v>709</v>
      </c>
      <c r="G14" s="55">
        <v>0.77</v>
      </c>
      <c r="H14">
        <v>0.98</v>
      </c>
      <c r="J14" s="26" t="s">
        <v>73</v>
      </c>
      <c r="K14" s="26" t="s">
        <v>1636</v>
      </c>
      <c r="L14" s="153">
        <f>E14</f>
        <v>6300</v>
      </c>
      <c r="M14" s="153">
        <f>F14</f>
        <v>709</v>
      </c>
      <c r="N14" s="102">
        <f t="shared" si="0"/>
        <v>0.77</v>
      </c>
      <c r="O14" s="173">
        <f t="shared" si="0"/>
        <v>0.98</v>
      </c>
      <c r="P14" s="164">
        <f>$N$11/N14</f>
        <v>1.025974025974026</v>
      </c>
    </row>
    <row r="15" spans="1:16" x14ac:dyDescent="0.3">
      <c r="L15" s="151">
        <f>SUM(L11:L14)</f>
        <v>20450</v>
      </c>
      <c r="M15" s="177">
        <f>SUMPRODUCT(M11:M14,$L$11:$L$14)/$L$15</f>
        <v>767.32029339853295</v>
      </c>
      <c r="O15" s="337">
        <f>SUMPRODUCT(O11:O14,$L$11:$L$14)/$L$15</f>
        <v>0.99178484107579468</v>
      </c>
      <c r="P15" s="337">
        <f>SUMPRODUCT(P11:P14,$L$11:$L$14)/$L$15</f>
        <v>1.0069465418302628</v>
      </c>
    </row>
    <row r="18" spans="1:16" x14ac:dyDescent="0.3">
      <c r="O18" s="84" t="s">
        <v>1703</v>
      </c>
      <c r="P18" s="5">
        <f>M15*O15*P15</f>
        <v>766.30306913273398</v>
      </c>
    </row>
    <row r="20" spans="1:16" s="26" customFormat="1" x14ac:dyDescent="0.3">
      <c r="A20" s="26" t="s">
        <v>168</v>
      </c>
    </row>
    <row r="22" spans="1:16" ht="15" thickBot="1" x14ac:dyDescent="0.35"/>
    <row r="23" spans="1:16" ht="15" thickBot="1" x14ac:dyDescent="0.35">
      <c r="C23" s="375" t="s">
        <v>8</v>
      </c>
      <c r="D23" s="376"/>
      <c r="E23" s="376"/>
      <c r="F23" s="376"/>
      <c r="G23" s="377"/>
    </row>
    <row r="25" spans="1:16" x14ac:dyDescent="0.3">
      <c r="D25" t="s">
        <v>1635</v>
      </c>
    </row>
    <row r="26" spans="1:16" x14ac:dyDescent="0.3">
      <c r="D26" t="s">
        <v>1634</v>
      </c>
    </row>
    <row r="27" spans="1:16" x14ac:dyDescent="0.3">
      <c r="D27" t="s">
        <v>1633</v>
      </c>
    </row>
    <row r="28" spans="1:16" x14ac:dyDescent="0.3">
      <c r="D28" t="s">
        <v>1632</v>
      </c>
    </row>
    <row r="29" spans="1:16" x14ac:dyDescent="0.3">
      <c r="C29">
        <v>6</v>
      </c>
      <c r="D29" t="s">
        <v>1631</v>
      </c>
    </row>
    <row r="30" spans="1:16" x14ac:dyDescent="0.3">
      <c r="D30" t="s">
        <v>1630</v>
      </c>
    </row>
    <row r="31" spans="1:16" x14ac:dyDescent="0.3">
      <c r="C31" s="92">
        <v>30000</v>
      </c>
      <c r="D31" t="s">
        <v>1629</v>
      </c>
    </row>
    <row r="32" spans="1:16" ht="15" thickBot="1" x14ac:dyDescent="0.35"/>
    <row r="33" spans="3:8" ht="15" thickBot="1" x14ac:dyDescent="0.35">
      <c r="C33" s="375" t="s">
        <v>4</v>
      </c>
      <c r="D33" s="376"/>
      <c r="E33" s="376"/>
      <c r="F33" s="376"/>
      <c r="G33" s="376"/>
      <c r="H33" s="377"/>
    </row>
    <row r="35" spans="3:8" ht="57.6" x14ac:dyDescent="0.3">
      <c r="C35" s="154" t="s">
        <v>1628</v>
      </c>
      <c r="D35" s="3" t="s">
        <v>1627</v>
      </c>
      <c r="E35" s="3" t="s">
        <v>1626</v>
      </c>
      <c r="F35" s="3" t="s">
        <v>1625</v>
      </c>
      <c r="G35" s="3" t="s">
        <v>1624</v>
      </c>
    </row>
    <row r="36" spans="3:8" x14ac:dyDescent="0.3">
      <c r="C36" s="14" t="s">
        <v>475</v>
      </c>
      <c r="D36" s="92">
        <v>26000</v>
      </c>
      <c r="E36" s="55">
        <v>0.79</v>
      </c>
      <c r="F36" s="177">
        <v>92</v>
      </c>
      <c r="G36" s="92">
        <v>24000</v>
      </c>
    </row>
    <row r="37" spans="3:8" x14ac:dyDescent="0.3">
      <c r="C37" s="14" t="s">
        <v>1623</v>
      </c>
      <c r="D37" s="92">
        <v>600</v>
      </c>
      <c r="E37" s="55">
        <v>0.75</v>
      </c>
      <c r="F37" s="177">
        <v>400</v>
      </c>
      <c r="G37" s="92">
        <v>500</v>
      </c>
    </row>
    <row r="38" spans="3:8" x14ac:dyDescent="0.3">
      <c r="C38" s="14"/>
      <c r="D38" s="92"/>
      <c r="E38" s="55"/>
      <c r="F38" s="177"/>
      <c r="G38" s="92"/>
    </row>
    <row r="39" spans="3:8" x14ac:dyDescent="0.3">
      <c r="C39" t="s">
        <v>1622</v>
      </c>
    </row>
    <row r="40" spans="3:8" ht="15" thickBot="1" x14ac:dyDescent="0.35"/>
    <row r="41" spans="3:8" ht="15" thickBot="1" x14ac:dyDescent="0.35">
      <c r="C41" s="375" t="s">
        <v>3</v>
      </c>
      <c r="D41" s="376"/>
      <c r="E41" s="376"/>
      <c r="F41" s="376"/>
      <c r="G41" s="376"/>
      <c r="H41" s="377"/>
    </row>
    <row r="43" spans="3:8" x14ac:dyDescent="0.3">
      <c r="C43">
        <v>50</v>
      </c>
      <c r="D43" t="s">
        <v>1702</v>
      </c>
      <c r="F43">
        <v>11880</v>
      </c>
      <c r="G43" t="s">
        <v>1701</v>
      </c>
    </row>
    <row r="44" spans="3:8" x14ac:dyDescent="0.3">
      <c r="C44">
        <v>0.95</v>
      </c>
      <c r="D44" t="s">
        <v>1700</v>
      </c>
      <c r="F44" s="144">
        <v>9.6600000000000005E-2</v>
      </c>
      <c r="G44" t="s">
        <v>1699</v>
      </c>
    </row>
    <row r="45" spans="3:8" x14ac:dyDescent="0.3">
      <c r="C45">
        <v>0.6</v>
      </c>
      <c r="D45" t="s">
        <v>1698</v>
      </c>
    </row>
    <row r="46" spans="3:8" x14ac:dyDescent="0.3">
      <c r="C46" s="109">
        <f>F43*F44/12</f>
        <v>95.634000000000015</v>
      </c>
      <c r="D46" t="s">
        <v>1697</v>
      </c>
    </row>
    <row r="49" spans="3:5" x14ac:dyDescent="0.3">
      <c r="C49" s="23" t="s">
        <v>475</v>
      </c>
      <c r="D49" s="23" t="s">
        <v>471</v>
      </c>
      <c r="E49" s="26" t="s">
        <v>1696</v>
      </c>
    </row>
    <row r="50" spans="3:5" x14ac:dyDescent="0.3">
      <c r="C50" t="b">
        <f>D36&gt;$C$43</f>
        <v>1</v>
      </c>
      <c r="D50" t="b">
        <f>D37&gt;$C$43</f>
        <v>1</v>
      </c>
      <c r="E50" t="s">
        <v>1695</v>
      </c>
    </row>
    <row r="51" spans="3:5" x14ac:dyDescent="0.3">
      <c r="C51" t="b">
        <f>G36/D36&gt;$C$44</f>
        <v>0</v>
      </c>
      <c r="D51" t="b">
        <f>G37/D37&gt;$C$44</f>
        <v>0</v>
      </c>
      <c r="E51" t="s">
        <v>1694</v>
      </c>
    </row>
    <row r="52" spans="3:5" x14ac:dyDescent="0.3">
      <c r="C52" t="b">
        <f>E36&gt;=$C$45</f>
        <v>1</v>
      </c>
      <c r="D52" t="b">
        <f>F36&gt;=$C$45</f>
        <v>1</v>
      </c>
      <c r="E52" t="s">
        <v>1693</v>
      </c>
    </row>
    <row r="53" spans="3:5" x14ac:dyDescent="0.3">
      <c r="C53" t="b">
        <f>F36&lt;=$C$46</f>
        <v>1</v>
      </c>
      <c r="D53" t="b">
        <f>(12*F37)/C31&lt;F44</f>
        <v>0</v>
      </c>
      <c r="E53" t="s">
        <v>1692</v>
      </c>
    </row>
    <row r="55" spans="3:5" x14ac:dyDescent="0.3">
      <c r="C55" s="374" t="str">
        <f>IF(AND(C50=TRUE,C51=TRUE),"No","Yes")</f>
        <v>Yes</v>
      </c>
      <c r="D55" s="374" t="str">
        <f>IF(AND(D50=TRUE,D51=TRUE),"No","Yes")</f>
        <v>Yes</v>
      </c>
      <c r="E55" t="s">
        <v>1691</v>
      </c>
    </row>
    <row r="56" spans="3:5" x14ac:dyDescent="0.3">
      <c r="C56" s="374" t="str">
        <f>IF(AND(C52=TRUE,C53=TRUE),"No","Yes")</f>
        <v>No</v>
      </c>
      <c r="D56" s="374" t="str">
        <f>IF(AND(D52=TRUE,D53=TRUE),"No","Yes")</f>
        <v>Yes</v>
      </c>
      <c r="E56" t="s">
        <v>1690</v>
      </c>
    </row>
  </sheetData>
  <mergeCells count="5">
    <mergeCell ref="C8:H8"/>
    <mergeCell ref="J8:N8"/>
    <mergeCell ref="C23:G23"/>
    <mergeCell ref="C33:H33"/>
    <mergeCell ref="C41:H41"/>
  </mergeCells>
  <pageMargins left="0.7" right="0.7" top="0.75" bottom="0.75" header="0.3" footer="0.3"/>
  <pageSetup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A501-166E-4493-8194-C2B26BB44866}">
  <sheetPr>
    <tabColor theme="5" tint="0.39997558519241921"/>
  </sheetPr>
  <dimension ref="A1:M50"/>
  <sheetViews>
    <sheetView workbookViewId="0">
      <selection activeCell="G44" sqref="G44"/>
    </sheetView>
  </sheetViews>
  <sheetFormatPr defaultRowHeight="14.4" x14ac:dyDescent="0.3"/>
  <cols>
    <col min="4" max="5" width="15.5546875" customWidth="1"/>
    <col min="12" max="12" width="12.21875" customWidth="1"/>
  </cols>
  <sheetData>
    <row r="1" spans="1:13" ht="15" thickBot="1" x14ac:dyDescent="0.35">
      <c r="A1" t="s">
        <v>1658</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c r="A9" t="s">
        <v>155</v>
      </c>
    </row>
    <row r="10" spans="1:13" ht="15" thickBot="1" x14ac:dyDescent="0.35">
      <c r="C10" s="375" t="s">
        <v>8</v>
      </c>
      <c r="D10" s="376"/>
      <c r="E10" s="376"/>
      <c r="F10" s="377"/>
    </row>
    <row r="12" spans="1:13" x14ac:dyDescent="0.3">
      <c r="C12" s="108">
        <v>1000</v>
      </c>
      <c r="D12" t="s">
        <v>1657</v>
      </c>
    </row>
    <row r="13" spans="1:13" x14ac:dyDescent="0.3">
      <c r="C13" s="108">
        <v>5000</v>
      </c>
      <c r="D13" t="s">
        <v>1656</v>
      </c>
    </row>
    <row r="14" spans="1:13" x14ac:dyDescent="0.3">
      <c r="C14" s="108">
        <v>500</v>
      </c>
      <c r="D14" t="s">
        <v>1655</v>
      </c>
    </row>
    <row r="15" spans="1:13" ht="15" thickBot="1" x14ac:dyDescent="0.35"/>
    <row r="16" spans="1:13" ht="15" thickBot="1" x14ac:dyDescent="0.35">
      <c r="C16" s="375" t="s">
        <v>4</v>
      </c>
      <c r="D16" s="376"/>
      <c r="E16" s="376"/>
      <c r="F16" s="376"/>
      <c r="G16" s="377"/>
      <c r="I16" s="375" t="s">
        <v>3</v>
      </c>
      <c r="J16" s="376"/>
      <c r="K16" s="376"/>
      <c r="L16" s="376"/>
      <c r="M16" s="377"/>
    </row>
    <row r="19" spans="3:5" x14ac:dyDescent="0.3">
      <c r="D19" s="14" t="s">
        <v>1654</v>
      </c>
      <c r="E19" s="14" t="s">
        <v>1653</v>
      </c>
    </row>
    <row r="20" spans="3:5" x14ac:dyDescent="0.3">
      <c r="C20" s="84" t="s">
        <v>1652</v>
      </c>
      <c r="D20" s="108">
        <v>3000</v>
      </c>
      <c r="E20" s="108">
        <v>1000</v>
      </c>
    </row>
    <row r="21" spans="3:5" x14ac:dyDescent="0.3">
      <c r="C21" s="84" t="s">
        <v>41</v>
      </c>
      <c r="D21" s="14">
        <v>0.3</v>
      </c>
      <c r="E21" s="14">
        <v>0.2</v>
      </c>
    </row>
    <row r="22" spans="3:5" x14ac:dyDescent="0.3">
      <c r="C22" s="84" t="s">
        <v>1651</v>
      </c>
      <c r="D22" s="108">
        <v>6000</v>
      </c>
      <c r="E22" s="108">
        <v>1500</v>
      </c>
    </row>
    <row r="41" spans="1:13" s="26" customFormat="1" x14ac:dyDescent="0.3">
      <c r="A41" s="26" t="s">
        <v>203</v>
      </c>
    </row>
    <row r="43" spans="1:13" ht="15" thickBot="1" x14ac:dyDescent="0.35"/>
    <row r="44" spans="1:13" ht="15" thickBot="1" x14ac:dyDescent="0.35">
      <c r="C44" s="375" t="s">
        <v>8</v>
      </c>
      <c r="D44" s="376"/>
      <c r="E44" s="376"/>
      <c r="F44" s="377"/>
      <c r="I44" s="375" t="s">
        <v>3</v>
      </c>
      <c r="J44" s="376"/>
      <c r="K44" s="376"/>
      <c r="L44" s="376"/>
      <c r="M44" s="377"/>
    </row>
    <row r="46" spans="1:13" x14ac:dyDescent="0.3">
      <c r="C46" s="108">
        <v>10</v>
      </c>
      <c r="D46" s="417" t="s">
        <v>1650</v>
      </c>
      <c r="E46" s="417"/>
      <c r="F46" s="417"/>
      <c r="G46" s="417"/>
    </row>
    <row r="47" spans="1:13" x14ac:dyDescent="0.3">
      <c r="D47" s="417"/>
      <c r="E47" s="417"/>
      <c r="F47" s="417"/>
      <c r="G47" s="417"/>
    </row>
    <row r="49" spans="4:7" x14ac:dyDescent="0.3">
      <c r="D49" s="417" t="s">
        <v>1649</v>
      </c>
      <c r="E49" s="417"/>
      <c r="F49" s="417"/>
      <c r="G49" s="417"/>
    </row>
    <row r="50" spans="4:7" x14ac:dyDescent="0.3">
      <c r="D50" s="417"/>
      <c r="E50" s="417"/>
      <c r="F50" s="417"/>
      <c r="G50" s="417"/>
    </row>
  </sheetData>
  <mergeCells count="7">
    <mergeCell ref="D49:G50"/>
    <mergeCell ref="C10:F10"/>
    <mergeCell ref="C16:G16"/>
    <mergeCell ref="I16:M16"/>
    <mergeCell ref="C44:F44"/>
    <mergeCell ref="I44:M44"/>
    <mergeCell ref="D46:G47"/>
  </mergeCells>
  <pageMargins left="0.7" right="0.7" top="0.75" bottom="0.7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858A5-A70A-46B4-A311-9C7D740E5C6B}">
  <sheetPr>
    <tabColor theme="9" tint="0.59999389629810485"/>
  </sheetPr>
  <dimension ref="A1:AE67"/>
  <sheetViews>
    <sheetView topLeftCell="A30" workbookViewId="0">
      <selection sqref="A1:XFD1048576"/>
    </sheetView>
  </sheetViews>
  <sheetFormatPr defaultRowHeight="14.4" x14ac:dyDescent="0.3"/>
  <cols>
    <col min="4" max="5" width="15.5546875" customWidth="1"/>
    <col min="12" max="12" width="12.21875" customWidth="1"/>
  </cols>
  <sheetData>
    <row r="1" spans="1:13" ht="15" thickBot="1" x14ac:dyDescent="0.35">
      <c r="A1" t="s">
        <v>1658</v>
      </c>
      <c r="G1" s="11" t="s">
        <v>13</v>
      </c>
      <c r="H1" s="10"/>
    </row>
    <row r="2" spans="1:13" x14ac:dyDescent="0.3">
      <c r="G2" s="9" t="s">
        <v>12</v>
      </c>
      <c r="H2" s="9"/>
    </row>
    <row r="3" spans="1:13" ht="15" thickBot="1" x14ac:dyDescent="0.35">
      <c r="G3" s="8" t="s">
        <v>11</v>
      </c>
      <c r="H3" s="8"/>
    </row>
    <row r="4" spans="1:13" ht="15.6" thickTop="1" thickBot="1" x14ac:dyDescent="0.35">
      <c r="G4" s="7" t="s">
        <v>10</v>
      </c>
      <c r="H4" s="7"/>
    </row>
    <row r="5" spans="1:13" ht="15" thickTop="1" x14ac:dyDescent="0.3">
      <c r="G5" s="6" t="s">
        <v>9</v>
      </c>
      <c r="H5" s="5"/>
    </row>
    <row r="9" spans="1:13" ht="15" thickBot="1" x14ac:dyDescent="0.35">
      <c r="A9" t="s">
        <v>155</v>
      </c>
    </row>
    <row r="10" spans="1:13" ht="15" thickBot="1" x14ac:dyDescent="0.35">
      <c r="C10" s="375" t="s">
        <v>8</v>
      </c>
      <c r="D10" s="376"/>
      <c r="E10" s="376"/>
      <c r="F10" s="377"/>
    </row>
    <row r="12" spans="1:13" x14ac:dyDescent="0.3">
      <c r="C12" s="108">
        <v>1000</v>
      </c>
      <c r="D12" t="s">
        <v>1657</v>
      </c>
    </row>
    <row r="13" spans="1:13" x14ac:dyDescent="0.3">
      <c r="C13" s="108">
        <v>5000</v>
      </c>
      <c r="D13" t="s">
        <v>1656</v>
      </c>
    </row>
    <row r="14" spans="1:13" x14ac:dyDescent="0.3">
      <c r="C14" s="108">
        <v>500</v>
      </c>
      <c r="D14" t="s">
        <v>1655</v>
      </c>
    </row>
    <row r="15" spans="1:13" ht="15" thickBot="1" x14ac:dyDescent="0.35"/>
    <row r="16" spans="1:13" ht="15" thickBot="1" x14ac:dyDescent="0.35">
      <c r="C16" s="375" t="s">
        <v>4</v>
      </c>
      <c r="D16" s="376"/>
      <c r="E16" s="376"/>
      <c r="F16" s="376"/>
      <c r="G16" s="377"/>
      <c r="I16" s="375" t="s">
        <v>3</v>
      </c>
      <c r="J16" s="376"/>
      <c r="K16" s="376"/>
      <c r="L16" s="376"/>
      <c r="M16" s="377"/>
    </row>
    <row r="19" spans="3:27" x14ac:dyDescent="0.3">
      <c r="D19" s="14" t="s">
        <v>1654</v>
      </c>
      <c r="E19" s="14" t="s">
        <v>1653</v>
      </c>
      <c r="I19" s="84" t="s">
        <v>1654</v>
      </c>
      <c r="J19" s="9" t="s">
        <v>1722</v>
      </c>
      <c r="K19" s="9"/>
      <c r="L19" s="9"/>
      <c r="M19" s="9"/>
      <c r="N19" s="9"/>
      <c r="O19" s="9"/>
      <c r="P19" s="9"/>
      <c r="Q19" s="9"/>
      <c r="R19" s="9"/>
      <c r="S19" s="9"/>
      <c r="T19" s="9"/>
      <c r="U19" s="9"/>
      <c r="V19" s="9"/>
    </row>
    <row r="20" spans="3:27" x14ac:dyDescent="0.3">
      <c r="C20" s="84" t="s">
        <v>1652</v>
      </c>
      <c r="D20" s="108">
        <v>3000</v>
      </c>
      <c r="E20" s="108">
        <v>1000</v>
      </c>
    </row>
    <row r="21" spans="3:27" x14ac:dyDescent="0.3">
      <c r="C21" s="84" t="s">
        <v>41</v>
      </c>
      <c r="D21" s="14">
        <v>0.3</v>
      </c>
      <c r="E21" s="14">
        <v>0.2</v>
      </c>
      <c r="I21" s="23" t="s">
        <v>1711</v>
      </c>
      <c r="J21" s="23" t="s">
        <v>652</v>
      </c>
      <c r="K21" s="23" t="s">
        <v>284</v>
      </c>
      <c r="L21" s="23" t="s">
        <v>326</v>
      </c>
    </row>
    <row r="22" spans="3:27" x14ac:dyDescent="0.3">
      <c r="C22" s="84" t="s">
        <v>1651</v>
      </c>
      <c r="D22" s="108">
        <v>6000</v>
      </c>
      <c r="E22" s="108">
        <v>1500</v>
      </c>
      <c r="I22" s="108" t="s">
        <v>1709</v>
      </c>
      <c r="J22" s="108">
        <f>$C$12</f>
        <v>1000</v>
      </c>
      <c r="K22" s="108">
        <f>J22-L22</f>
        <v>0</v>
      </c>
      <c r="L22" s="108">
        <f>J22</f>
        <v>1000</v>
      </c>
      <c r="M22" s="9" t="s">
        <v>1721</v>
      </c>
      <c r="N22" s="9"/>
      <c r="O22" s="9"/>
      <c r="P22" s="9"/>
    </row>
    <row r="23" spans="3:27" x14ac:dyDescent="0.3">
      <c r="I23" s="108" t="s">
        <v>1708</v>
      </c>
      <c r="J23" s="108">
        <f>$C$13</f>
        <v>5000</v>
      </c>
      <c r="K23" s="108">
        <f>J23-L23</f>
        <v>2100</v>
      </c>
      <c r="L23" s="108">
        <f>($D$20-L22)+(J23-($D$20-L22))*$D$21</f>
        <v>2900</v>
      </c>
      <c r="M23" s="9" t="s">
        <v>1720</v>
      </c>
      <c r="N23" s="9"/>
      <c r="O23" s="9"/>
      <c r="P23" s="9"/>
      <c r="Q23" s="9"/>
      <c r="R23" s="9"/>
    </row>
    <row r="24" spans="3:27" x14ac:dyDescent="0.3">
      <c r="I24" s="169" t="s">
        <v>1706</v>
      </c>
      <c r="J24" s="169">
        <f>$C$14</f>
        <v>500</v>
      </c>
      <c r="K24" s="169">
        <f>J24-L24</f>
        <v>350</v>
      </c>
      <c r="L24" s="169">
        <f>J24*$D$21</f>
        <v>150</v>
      </c>
      <c r="M24" s="9" t="s">
        <v>1719</v>
      </c>
      <c r="N24" s="9"/>
      <c r="O24" s="9"/>
      <c r="P24" s="9"/>
      <c r="Q24" s="9"/>
    </row>
    <row r="25" spans="3:27" x14ac:dyDescent="0.3">
      <c r="I25" s="108"/>
      <c r="J25" s="108">
        <f>SUM(J22:J24)</f>
        <v>6500</v>
      </c>
      <c r="K25" s="108">
        <f>SUM(K22:K24)</f>
        <v>2450</v>
      </c>
      <c r="L25" s="108">
        <f>SUM(L22:L24)</f>
        <v>4050</v>
      </c>
      <c r="M25" s="9" t="s">
        <v>1718</v>
      </c>
      <c r="N25" s="9"/>
      <c r="O25" s="9"/>
      <c r="P25" s="9"/>
      <c r="Q25" s="9"/>
      <c r="R25" s="9"/>
      <c r="S25" s="9"/>
      <c r="T25" s="9"/>
      <c r="U25" s="9"/>
      <c r="V25" s="9"/>
      <c r="W25" s="9"/>
      <c r="X25" s="9"/>
    </row>
    <row r="26" spans="3:27" ht="15" thickBot="1" x14ac:dyDescent="0.35"/>
    <row r="27" spans="3:27" ht="15.6" thickTop="1" thickBot="1" x14ac:dyDescent="0.35">
      <c r="L27" s="7" t="b">
        <f>J25=SUM(K25:L25)</f>
        <v>1</v>
      </c>
    </row>
    <row r="28" spans="3:27" ht="15" thickTop="1" x14ac:dyDescent="0.3"/>
    <row r="29" spans="3:27" x14ac:dyDescent="0.3">
      <c r="I29" s="84" t="s">
        <v>1653</v>
      </c>
      <c r="J29" s="9" t="s">
        <v>1717</v>
      </c>
      <c r="K29" s="9"/>
      <c r="L29" s="9"/>
      <c r="M29" s="9"/>
      <c r="N29" s="9"/>
      <c r="O29" s="9"/>
      <c r="P29" s="9"/>
      <c r="Q29" s="9"/>
      <c r="R29" s="9"/>
      <c r="S29" s="9"/>
      <c r="T29" s="9"/>
      <c r="U29" s="9"/>
      <c r="V29" s="9"/>
      <c r="W29" s="9"/>
      <c r="X29" s="9"/>
      <c r="Y29" s="9"/>
      <c r="Z29" s="9"/>
      <c r="AA29" s="9"/>
    </row>
    <row r="31" spans="3:27" x14ac:dyDescent="0.3">
      <c r="I31" s="23" t="s">
        <v>1711</v>
      </c>
      <c r="J31" s="23" t="s">
        <v>652</v>
      </c>
      <c r="K31" s="23" t="s">
        <v>284</v>
      </c>
      <c r="L31" s="23" t="s">
        <v>326</v>
      </c>
    </row>
    <row r="32" spans="3:27" x14ac:dyDescent="0.3">
      <c r="I32" s="108" t="s">
        <v>1709</v>
      </c>
      <c r="J32" s="108">
        <f>$C$12</f>
        <v>1000</v>
      </c>
      <c r="K32" s="108">
        <f>J32-L32</f>
        <v>0</v>
      </c>
      <c r="L32" s="108">
        <f>J32</f>
        <v>1000</v>
      </c>
      <c r="M32" s="9" t="s">
        <v>1716</v>
      </c>
      <c r="N32" s="9"/>
      <c r="O32" s="9"/>
    </row>
    <row r="33" spans="1:19" x14ac:dyDescent="0.3">
      <c r="I33" s="108" t="s">
        <v>1708</v>
      </c>
      <c r="J33" s="108">
        <f>$C$13</f>
        <v>5000</v>
      </c>
      <c r="K33" s="108">
        <f>J33-L33</f>
        <v>4500</v>
      </c>
      <c r="L33" s="108">
        <f>MIN($E$22-L32,J33*$E$21)</f>
        <v>500</v>
      </c>
      <c r="M33" s="9" t="s">
        <v>1715</v>
      </c>
      <c r="N33" s="9"/>
      <c r="O33" s="9"/>
      <c r="P33" s="9"/>
      <c r="Q33" s="9"/>
      <c r="R33" s="9"/>
    </row>
    <row r="34" spans="1:19" x14ac:dyDescent="0.3">
      <c r="I34" s="169" t="s">
        <v>1706</v>
      </c>
      <c r="J34" s="169">
        <f>$C$14</f>
        <v>500</v>
      </c>
      <c r="K34" s="169">
        <f>J34-L34</f>
        <v>500</v>
      </c>
      <c r="L34" s="169">
        <v>0</v>
      </c>
      <c r="M34" s="9" t="s">
        <v>1714</v>
      </c>
      <c r="N34" s="9"/>
      <c r="O34" s="9"/>
      <c r="P34" s="9"/>
      <c r="Q34" s="9"/>
      <c r="R34" s="9"/>
      <c r="S34" s="9"/>
    </row>
    <row r="35" spans="1:19" x14ac:dyDescent="0.3">
      <c r="J35" s="108">
        <f>SUM(J32:J34)</f>
        <v>6500</v>
      </c>
      <c r="K35" s="108">
        <f>SUM(K32:K34)</f>
        <v>5000</v>
      </c>
      <c r="L35" s="108">
        <f>SUM(L32:L34)</f>
        <v>1500</v>
      </c>
      <c r="M35" s="9" t="s">
        <v>1713</v>
      </c>
      <c r="N35" s="9"/>
      <c r="O35" s="9"/>
      <c r="P35" s="9"/>
      <c r="Q35" s="9"/>
      <c r="R35" s="9"/>
    </row>
    <row r="36" spans="1:19" ht="15" thickBot="1" x14ac:dyDescent="0.35"/>
    <row r="37" spans="1:19" ht="15.6" thickTop="1" thickBot="1" x14ac:dyDescent="0.35">
      <c r="L37" s="7" t="b">
        <f>J35=SUM(K35:L35)</f>
        <v>1</v>
      </c>
    </row>
    <row r="38" spans="1:19" ht="15" thickTop="1" x14ac:dyDescent="0.3"/>
    <row r="39" spans="1:19" x14ac:dyDescent="0.3">
      <c r="I39" s="5">
        <f>L25-L35</f>
        <v>2550</v>
      </c>
      <c r="J39" t="s">
        <v>1705</v>
      </c>
    </row>
    <row r="41" spans="1:19" s="26" customFormat="1" x14ac:dyDescent="0.3">
      <c r="A41" s="26" t="s">
        <v>203</v>
      </c>
    </row>
    <row r="43" spans="1:19" ht="15" thickBot="1" x14ac:dyDescent="0.35"/>
    <row r="44" spans="1:19" ht="15" thickBot="1" x14ac:dyDescent="0.35">
      <c r="C44" s="375" t="s">
        <v>8</v>
      </c>
      <c r="D44" s="376"/>
      <c r="E44" s="376"/>
      <c r="F44" s="377"/>
      <c r="I44" s="375" t="s">
        <v>3</v>
      </c>
      <c r="J44" s="376"/>
      <c r="K44" s="376"/>
      <c r="L44" s="376"/>
      <c r="M44" s="377"/>
    </row>
    <row r="46" spans="1:19" x14ac:dyDescent="0.3">
      <c r="C46" s="108">
        <v>10</v>
      </c>
      <c r="D46" s="417" t="s">
        <v>1650</v>
      </c>
      <c r="E46" s="417"/>
      <c r="F46" s="417"/>
      <c r="G46" s="417"/>
    </row>
    <row r="47" spans="1:19" x14ac:dyDescent="0.3">
      <c r="D47" s="417"/>
      <c r="E47" s="417"/>
      <c r="F47" s="417"/>
      <c r="G47" s="417"/>
      <c r="I47" s="84" t="s">
        <v>1654</v>
      </c>
    </row>
    <row r="49" spans="4:31" x14ac:dyDescent="0.3">
      <c r="D49" s="417" t="s">
        <v>1649</v>
      </c>
      <c r="E49" s="417"/>
      <c r="F49" s="417"/>
      <c r="G49" s="417"/>
      <c r="I49" s="23" t="s">
        <v>1711</v>
      </c>
      <c r="J49" s="23" t="s">
        <v>652</v>
      </c>
      <c r="K49" s="23" t="s">
        <v>284</v>
      </c>
      <c r="L49" s="23" t="s">
        <v>1710</v>
      </c>
      <c r="M49" s="23" t="s">
        <v>326</v>
      </c>
    </row>
    <row r="50" spans="4:31" x14ac:dyDescent="0.3">
      <c r="D50" s="417"/>
      <c r="E50" s="417"/>
      <c r="F50" s="417"/>
      <c r="G50" s="417"/>
      <c r="I50" s="108" t="s">
        <v>1709</v>
      </c>
      <c r="J50" s="108">
        <f>$C$12</f>
        <v>1000</v>
      </c>
      <c r="K50" s="108">
        <f>J50-SUM(L50:M50)</f>
        <v>0</v>
      </c>
      <c r="L50" s="108">
        <v>0</v>
      </c>
      <c r="M50" s="108">
        <f>J50</f>
        <v>1000</v>
      </c>
    </row>
    <row r="51" spans="4:31" x14ac:dyDescent="0.3">
      <c r="I51" s="108" t="s">
        <v>1708</v>
      </c>
      <c r="J51" s="108">
        <f>$C$13</f>
        <v>5000</v>
      </c>
      <c r="K51" s="108">
        <f>J51-SUM(L51:M51)</f>
        <v>2100</v>
      </c>
      <c r="L51" s="108">
        <f>L23-M51</f>
        <v>2890</v>
      </c>
      <c r="M51" s="108">
        <f>$C$46</f>
        <v>10</v>
      </c>
      <c r="N51" s="9" t="s">
        <v>1712</v>
      </c>
      <c r="O51" s="9"/>
      <c r="P51" s="9"/>
      <c r="Q51" s="9"/>
      <c r="R51" s="9"/>
      <c r="S51" s="9"/>
      <c r="T51" s="9"/>
      <c r="U51" s="9"/>
      <c r="V51" s="9"/>
      <c r="W51" s="9"/>
      <c r="X51" s="9"/>
      <c r="Y51" s="9"/>
      <c r="Z51" s="9"/>
      <c r="AA51" s="9"/>
      <c r="AB51" s="9"/>
      <c r="AC51" s="9"/>
      <c r="AD51" s="9"/>
      <c r="AE51" s="9"/>
    </row>
    <row r="52" spans="4:31" x14ac:dyDescent="0.3">
      <c r="I52" s="169" t="s">
        <v>1706</v>
      </c>
      <c r="J52" s="169">
        <f>$C$14</f>
        <v>500</v>
      </c>
      <c r="K52" s="169">
        <f>J52-SUM(L52:M52)</f>
        <v>350</v>
      </c>
      <c r="L52" s="169">
        <v>0</v>
      </c>
      <c r="M52" s="169">
        <f>J52*$D$21</f>
        <v>150</v>
      </c>
    </row>
    <row r="53" spans="4:31" x14ac:dyDescent="0.3">
      <c r="I53" s="108"/>
      <c r="J53" s="108">
        <f>SUM(J50:J52)</f>
        <v>6500</v>
      </c>
      <c r="K53" s="108">
        <f>SUM(K50:K52)</f>
        <v>2450</v>
      </c>
      <c r="L53" s="108">
        <f>SUM(L50:L52)</f>
        <v>2890</v>
      </c>
      <c r="M53" s="108">
        <f>SUM(M50:M52)</f>
        <v>1160</v>
      </c>
    </row>
    <row r="54" spans="4:31" ht="15" thickBot="1" x14ac:dyDescent="0.35"/>
    <row r="55" spans="4:31" ht="15.6" thickTop="1" thickBot="1" x14ac:dyDescent="0.35">
      <c r="L55" s="7" t="b">
        <f>J53=SUM(K53:M53)</f>
        <v>1</v>
      </c>
    </row>
    <row r="56" spans="4:31" ht="15" thickTop="1" x14ac:dyDescent="0.3"/>
    <row r="57" spans="4:31" x14ac:dyDescent="0.3">
      <c r="I57" s="84" t="s">
        <v>1653</v>
      </c>
    </row>
    <row r="59" spans="4:31" x14ac:dyDescent="0.3">
      <c r="I59" s="23" t="s">
        <v>1711</v>
      </c>
      <c r="J59" s="23" t="s">
        <v>652</v>
      </c>
      <c r="K59" s="23" t="s">
        <v>284</v>
      </c>
      <c r="L59" s="23" t="s">
        <v>1710</v>
      </c>
      <c r="M59" s="23" t="s">
        <v>326</v>
      </c>
    </row>
    <row r="60" spans="4:31" x14ac:dyDescent="0.3">
      <c r="I60" s="108" t="s">
        <v>1709</v>
      </c>
      <c r="J60" s="108">
        <f>$C$12</f>
        <v>1000</v>
      </c>
      <c r="K60" s="108">
        <f>J60-SUM(L60:M60)</f>
        <v>0</v>
      </c>
      <c r="L60" s="108">
        <v>0</v>
      </c>
      <c r="M60" s="108">
        <f>J60</f>
        <v>1000</v>
      </c>
    </row>
    <row r="61" spans="4:31" x14ac:dyDescent="0.3">
      <c r="I61" s="108" t="s">
        <v>1708</v>
      </c>
      <c r="J61" s="108">
        <f>$C$13</f>
        <v>5000</v>
      </c>
      <c r="K61" s="108">
        <f>J61-SUM(L61:M61)</f>
        <v>4500</v>
      </c>
      <c r="L61" s="108">
        <f>L33-M61</f>
        <v>490</v>
      </c>
      <c r="M61" s="108">
        <f>$C$46</f>
        <v>10</v>
      </c>
      <c r="N61" s="9" t="s">
        <v>1707</v>
      </c>
      <c r="O61" s="9"/>
      <c r="P61" s="9"/>
      <c r="Q61" s="9"/>
      <c r="R61" s="9"/>
      <c r="S61" s="9"/>
      <c r="T61" s="9"/>
      <c r="U61" s="9"/>
      <c r="V61" s="9"/>
      <c r="W61" s="9"/>
      <c r="X61" s="9"/>
      <c r="Y61" s="9"/>
      <c r="Z61" s="9"/>
      <c r="AA61" s="9"/>
      <c r="AB61" s="9"/>
    </row>
    <row r="62" spans="4:31" x14ac:dyDescent="0.3">
      <c r="I62" s="169" t="s">
        <v>1706</v>
      </c>
      <c r="J62" s="169">
        <f>$C$14</f>
        <v>500</v>
      </c>
      <c r="K62" s="169">
        <f>J62-SUM(L62:M62)</f>
        <v>500</v>
      </c>
      <c r="L62" s="169">
        <v>0</v>
      </c>
      <c r="M62" s="169">
        <v>0</v>
      </c>
    </row>
    <row r="63" spans="4:31" x14ac:dyDescent="0.3">
      <c r="J63" s="108">
        <f>SUM(J60:J62)</f>
        <v>6500</v>
      </c>
      <c r="K63" s="108">
        <f>SUM(K60:K62)</f>
        <v>5000</v>
      </c>
      <c r="L63" s="108">
        <f>SUM(L60:L62)</f>
        <v>490</v>
      </c>
      <c r="M63" s="108">
        <f>SUM(M60:M62)</f>
        <v>1010</v>
      </c>
    </row>
    <row r="64" spans="4:31" ht="15" thickBot="1" x14ac:dyDescent="0.35"/>
    <row r="65" spans="9:12" ht="15.6" thickTop="1" thickBot="1" x14ac:dyDescent="0.35">
      <c r="L65" s="7" t="b">
        <f>J63=SUM(K63:M63)</f>
        <v>1</v>
      </c>
    </row>
    <row r="66" spans="9:12" ht="15" thickTop="1" x14ac:dyDescent="0.3"/>
    <row r="67" spans="9:12" x14ac:dyDescent="0.3">
      <c r="I67" s="5">
        <f>M53-M63</f>
        <v>150</v>
      </c>
      <c r="J67" t="s">
        <v>1705</v>
      </c>
    </row>
  </sheetData>
  <mergeCells count="7">
    <mergeCell ref="D49:G50"/>
    <mergeCell ref="C10:F10"/>
    <mergeCell ref="C16:G16"/>
    <mergeCell ref="I16:M16"/>
    <mergeCell ref="C44:F44"/>
    <mergeCell ref="I44:M44"/>
    <mergeCell ref="D46:G4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8D21CF2-FE64-47F9-98C7-4D066C0D5706}"/>
</file>

<file path=customXml/itemProps2.xml><?xml version="1.0" encoding="utf-8"?>
<ds:datastoreItem xmlns:ds="http://schemas.openxmlformats.org/officeDocument/2006/customXml" ds:itemID="{F4829443-C7EE-442D-A9E2-C5E13D995617}"/>
</file>

<file path=customXml/itemProps3.xml><?xml version="1.0" encoding="utf-8"?>
<ds:datastoreItem xmlns:ds="http://schemas.openxmlformats.org/officeDocument/2006/customXml" ds:itemID="{998C7489-9D73-48BA-84A7-9CDB82DF4F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93</vt:i4>
      </vt:variant>
    </vt:vector>
  </HeadingPairs>
  <TitlesOfParts>
    <vt:vector size="93" baseType="lpstr">
      <vt:lpstr>Cover </vt:lpstr>
      <vt:lpstr>GH 101 LO 1</vt:lpstr>
      <vt:lpstr>LO1 Q1</vt:lpstr>
      <vt:lpstr>LO1 A1</vt:lpstr>
      <vt:lpstr>GH 101 LO 2</vt:lpstr>
      <vt:lpstr>LO2 Q1</vt:lpstr>
      <vt:lpstr>LO2 A1</vt:lpstr>
      <vt:lpstr>LO2 Q2</vt:lpstr>
      <vt:lpstr>LO2 A2</vt:lpstr>
      <vt:lpstr>LO2 Q3</vt:lpstr>
      <vt:lpstr>LO2 A3</vt:lpstr>
      <vt:lpstr>LO2 Q5</vt:lpstr>
      <vt:lpstr>LO2 A5</vt:lpstr>
      <vt:lpstr>LO2 Q6</vt:lpstr>
      <vt:lpstr>LO2 A6</vt:lpstr>
      <vt:lpstr>LO2 Q7</vt:lpstr>
      <vt:lpstr>LO2 A7</vt:lpstr>
      <vt:lpstr>LO2 Q8</vt:lpstr>
      <vt:lpstr>LO2 A8</vt:lpstr>
      <vt:lpstr>LO2 Q9</vt:lpstr>
      <vt:lpstr>LO2 A9</vt:lpstr>
      <vt:lpstr>LO2 Q10</vt:lpstr>
      <vt:lpstr>LO2 A10</vt:lpstr>
      <vt:lpstr>LO2 Q11</vt:lpstr>
      <vt:lpstr>LO2 A11</vt:lpstr>
      <vt:lpstr>LO2 Q12</vt:lpstr>
      <vt:lpstr>LO2 A12</vt:lpstr>
      <vt:lpstr>LO2 Q13</vt:lpstr>
      <vt:lpstr>LO2 A13</vt:lpstr>
      <vt:lpstr>LO2 Q14</vt:lpstr>
      <vt:lpstr>LO2 A14</vt:lpstr>
      <vt:lpstr>LO2 Q15</vt:lpstr>
      <vt:lpstr>LO2 A15</vt:lpstr>
      <vt:lpstr>LO2 Q16</vt:lpstr>
      <vt:lpstr>LO2 A16</vt:lpstr>
      <vt:lpstr>LO2 Q17</vt:lpstr>
      <vt:lpstr>LO2 A17</vt:lpstr>
      <vt:lpstr>LO2 Q18</vt:lpstr>
      <vt:lpstr>LO2 A18</vt:lpstr>
      <vt:lpstr>LO2 Q19</vt:lpstr>
      <vt:lpstr>LO2 A19</vt:lpstr>
      <vt:lpstr>LO2 Q20</vt:lpstr>
      <vt:lpstr>LO2 A20</vt:lpstr>
      <vt:lpstr>LO2 Q21</vt:lpstr>
      <vt:lpstr>LO2 A21</vt:lpstr>
      <vt:lpstr>GH 101 LO 3</vt:lpstr>
      <vt:lpstr>LO3 Q1</vt:lpstr>
      <vt:lpstr>LO3 A1</vt:lpstr>
      <vt:lpstr>LO3 Q2</vt:lpstr>
      <vt:lpstr>LO3 A2</vt:lpstr>
      <vt:lpstr>LO3 Q3</vt:lpstr>
      <vt:lpstr>LO3 A3</vt:lpstr>
      <vt:lpstr>LO3 Q4</vt:lpstr>
      <vt:lpstr>LO3 A4</vt:lpstr>
      <vt:lpstr>LO3 Q5</vt:lpstr>
      <vt:lpstr>LO3 A5</vt:lpstr>
      <vt:lpstr>LO3 Q6</vt:lpstr>
      <vt:lpstr>LO3 A6</vt:lpstr>
      <vt:lpstr>LO3 Q7</vt:lpstr>
      <vt:lpstr>LO3 A7</vt:lpstr>
      <vt:lpstr>LO3 Q8</vt:lpstr>
      <vt:lpstr>LO3 A8</vt:lpstr>
      <vt:lpstr>LO3 Q9</vt:lpstr>
      <vt:lpstr>LO3 A9</vt:lpstr>
      <vt:lpstr>LO3 Q10</vt:lpstr>
      <vt:lpstr>LO3 A10</vt:lpstr>
      <vt:lpstr>LO3 Q11</vt:lpstr>
      <vt:lpstr>LO3 A11</vt:lpstr>
      <vt:lpstr>LO3 Q12</vt:lpstr>
      <vt:lpstr>LO3 A12</vt:lpstr>
      <vt:lpstr>LO3 Q13</vt:lpstr>
      <vt:lpstr>LO3 A13</vt:lpstr>
      <vt:lpstr>LO3 Q14</vt:lpstr>
      <vt:lpstr>LO3 A14</vt:lpstr>
      <vt:lpstr>LO3 Q15</vt:lpstr>
      <vt:lpstr>LO3 A15</vt:lpstr>
      <vt:lpstr>LO3 Q16</vt:lpstr>
      <vt:lpstr>LO3 A16</vt:lpstr>
      <vt:lpstr>LO3 Q17</vt:lpstr>
      <vt:lpstr>LO3 A17</vt:lpstr>
      <vt:lpstr>LO3 Q18</vt:lpstr>
      <vt:lpstr>LO3 A18</vt:lpstr>
      <vt:lpstr>GH 101 LO 4</vt:lpstr>
      <vt:lpstr>LO4 Q3</vt:lpstr>
      <vt:lpstr>LO4 A3</vt:lpstr>
      <vt:lpstr>LO4 Q5</vt:lpstr>
      <vt:lpstr>LO4 A5</vt:lpstr>
      <vt:lpstr>LO4 Q7</vt:lpstr>
      <vt:lpstr>LO4 A7</vt:lpstr>
      <vt:lpstr>LO4 Q9</vt:lpstr>
      <vt:lpstr>LO4 A9</vt:lpstr>
      <vt:lpstr>LO4 Q11</vt:lpstr>
      <vt:lpstr>LO4 A11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Norris</dc:creator>
  <cp:lastModifiedBy>Douglas Norris</cp:lastModifiedBy>
  <dcterms:created xsi:type="dcterms:W3CDTF">2015-06-05T18:17:20Z</dcterms:created>
  <dcterms:modified xsi:type="dcterms:W3CDTF">2025-06-27T16:26:36Z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