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societyofactuaries-my.sharepoint.com/personal/dnorris_soa_org/Documents/Documents/Projects/2025-26 Curriculum/FINAL CURATED PAST EXAMS/Fully Assembled/"/>
    </mc:Choice>
  </mc:AlternateContent>
  <xr:revisionPtr revIDLastSave="128" documentId="11_F25DC773A252ABDACC1048E089DE79AE5ADE58ED" xr6:coauthVersionLast="47" xr6:coauthVersionMax="47" xr10:uidLastSave="{469FFF12-AB61-4E21-B752-DC1DD8EF68A1}"/>
  <bookViews>
    <workbookView xWindow="28680" yWindow="-120" windowWidth="38640" windowHeight="21120" xr2:uid="{00000000-000D-0000-FFFF-FFFF00000000}"/>
  </bookViews>
  <sheets>
    <sheet name="Cover " sheetId="73" r:id="rId1"/>
    <sheet name="GH 301 LO 1" sheetId="1" r:id="rId2"/>
    <sheet name="LO1 Q1" sheetId="3" r:id="rId3"/>
    <sheet name="LO1 A1" sheetId="21" r:id="rId4"/>
    <sheet name="LO1 Q2" sheetId="4" r:id="rId5"/>
    <sheet name="LO1 A2" sheetId="22" r:id="rId6"/>
    <sheet name="LO1 Q3" sheetId="5" r:id="rId7"/>
    <sheet name="LO1 A3" sheetId="23" r:id="rId8"/>
    <sheet name="LO1 Q5" sheetId="6" r:id="rId9"/>
    <sheet name="LO1 A5" sheetId="24" r:id="rId10"/>
    <sheet name="LO1 Q7" sheetId="7" r:id="rId11"/>
    <sheet name="LO1 A7" sheetId="25" r:id="rId12"/>
    <sheet name="LO1 Q8" sheetId="8" r:id="rId13"/>
    <sheet name="LO1 A8" sheetId="26" r:id="rId14"/>
    <sheet name="LO1 Q9" sheetId="9" r:id="rId15"/>
    <sheet name="LO1 A9" sheetId="27" r:id="rId16"/>
    <sheet name="LO1 Q10" sheetId="10" r:id="rId17"/>
    <sheet name="LO1 A10" sheetId="28" r:id="rId18"/>
    <sheet name="LO1 Q11" sheetId="11" r:id="rId19"/>
    <sheet name="LO1 A11" sheetId="29" r:id="rId20"/>
    <sheet name="LO1 Q12" sheetId="12" r:id="rId21"/>
    <sheet name="LO1 A12" sheetId="30" r:id="rId22"/>
    <sheet name="LO1 Q13" sheetId="13" r:id="rId23"/>
    <sheet name="LO1 A13" sheetId="31" r:id="rId24"/>
    <sheet name="LO1 Q14" sheetId="14" r:id="rId25"/>
    <sheet name="LO1 A14" sheetId="32" r:id="rId26"/>
    <sheet name="LO1 Q15" sheetId="15" r:id="rId27"/>
    <sheet name="LO1 A15" sheetId="33" r:id="rId28"/>
    <sheet name="LO1 Q17" sheetId="16" r:id="rId29"/>
    <sheet name="LO1 A17" sheetId="34" r:id="rId30"/>
    <sheet name="LO1 Q19" sheetId="17" r:id="rId31"/>
    <sheet name="LO1 A19" sheetId="35" r:id="rId32"/>
    <sheet name="LO1 Q21" sheetId="18" r:id="rId33"/>
    <sheet name="LO1 A21" sheetId="36" r:id="rId34"/>
    <sheet name="LO1 Q22" sheetId="19" r:id="rId35"/>
    <sheet name="LO1 A22" sheetId="37" r:id="rId36"/>
    <sheet name="LO1 Q23" sheetId="20" r:id="rId37"/>
    <sheet name="LO1 A23" sheetId="38" r:id="rId38"/>
    <sheet name="LO1 Q24" sheetId="2" r:id="rId39"/>
    <sheet name="LO1 A24" sheetId="39" r:id="rId40"/>
    <sheet name="GH 301 LO 2" sheetId="40" r:id="rId41"/>
    <sheet name="LO2 Q5" sheetId="41" r:id="rId42"/>
    <sheet name="LO2 A5" sheetId="49" r:id="rId43"/>
    <sheet name="LO2 Q7" sheetId="42" r:id="rId44"/>
    <sheet name="LO2 A7" sheetId="50" r:id="rId45"/>
    <sheet name="LO2 Q10" sheetId="43" r:id="rId46"/>
    <sheet name="LO2 A10" sheetId="51" r:id="rId47"/>
    <sheet name="LO2 Q11" sheetId="44" r:id="rId48"/>
    <sheet name="LO2 A11" sheetId="52" r:id="rId49"/>
    <sheet name="LO2 Q14" sheetId="45" r:id="rId50"/>
    <sheet name="LO2 A14" sheetId="53" r:id="rId51"/>
    <sheet name="LO2 Q15" sheetId="46" r:id="rId52"/>
    <sheet name="LO2 A15" sheetId="54" r:id="rId53"/>
    <sheet name="LO2 Q16" sheetId="47" r:id="rId54"/>
    <sheet name="LO2 A16" sheetId="55" r:id="rId55"/>
    <sheet name="LO2 Q19" sheetId="48" r:id="rId56"/>
    <sheet name="LO2 A19" sheetId="56" r:id="rId57"/>
    <sheet name="GH 301 LO 3" sheetId="57" r:id="rId58"/>
    <sheet name="LO3 Q2" sheetId="59" r:id="rId59"/>
    <sheet name="LO3 A2" sheetId="66" r:id="rId60"/>
    <sheet name="LO3 Q3" sheetId="60" r:id="rId61"/>
    <sheet name="LO3 A3" sheetId="67" r:id="rId62"/>
    <sheet name="LO3 Q7" sheetId="61" r:id="rId63"/>
    <sheet name="LO3 A7" sheetId="68" r:id="rId64"/>
    <sheet name="LO3 Q9" sheetId="62" r:id="rId65"/>
    <sheet name="LO3 A9" sheetId="69" r:id="rId66"/>
    <sheet name="LO3 Q11" sheetId="63" r:id="rId67"/>
    <sheet name="LO3 A11" sheetId="70" r:id="rId68"/>
    <sheet name="LO3 Q12" sheetId="64" r:id="rId69"/>
    <sheet name="LO3 A12" sheetId="71" r:id="rId70"/>
    <sheet name="LO3 Q14" sheetId="65" r:id="rId71"/>
    <sheet name="LO3 A14" sheetId="72" r:id="rId72"/>
  </sheets>
  <externalReferences>
    <externalReference r:id="rId73"/>
  </externalReferences>
  <definedNames>
    <definedName name="__123Graph_A" localSheetId="23" hidden="1">#REF!</definedName>
    <definedName name="__123Graph_A" localSheetId="5" hidden="1">#REF!</definedName>
    <definedName name="__123Graph_A" localSheetId="37" hidden="1">#REF!</definedName>
    <definedName name="__123Graph_A" localSheetId="39" hidden="1">#REF!</definedName>
    <definedName name="__123Graph_A" localSheetId="7" hidden="1">#REF!</definedName>
    <definedName name="__123Graph_A" localSheetId="22" hidden="1">#REF!</definedName>
    <definedName name="__123Graph_A" localSheetId="4" hidden="1">#REF!</definedName>
    <definedName name="__123Graph_A" localSheetId="36" hidden="1">#REF!</definedName>
    <definedName name="__123Graph_A" localSheetId="38" hidden="1">#REF!</definedName>
    <definedName name="__123Graph_A" localSheetId="6" hidden="1">#REF!</definedName>
    <definedName name="__123Graph_A" localSheetId="56" hidden="1">#REF!</definedName>
    <definedName name="__123Graph_A" localSheetId="42" hidden="1">#REF!</definedName>
    <definedName name="__123Graph_A" localSheetId="55" hidden="1">#REF!</definedName>
    <definedName name="__123Graph_A" localSheetId="41" hidden="1">#REF!</definedName>
    <definedName name="__123Graph_A" localSheetId="71" hidden="1">#REF!</definedName>
    <definedName name="__123Graph_A" localSheetId="70" hidden="1">#REF!</definedName>
    <definedName name="__123Graph_A" hidden="1">#REF!</definedName>
    <definedName name="__123Graph_AChart1" localSheetId="37" hidden="1">#REF!</definedName>
    <definedName name="__123Graph_AChart1" localSheetId="39" hidden="1">#REF!</definedName>
    <definedName name="__123Graph_AChart1" localSheetId="36" hidden="1">#REF!</definedName>
    <definedName name="__123Graph_AChart1" localSheetId="38" hidden="1">#REF!</definedName>
    <definedName name="__123Graph_AChart1" localSheetId="56" hidden="1">#REF!</definedName>
    <definedName name="__123Graph_AChart1" localSheetId="42" hidden="1">#REF!</definedName>
    <definedName name="__123Graph_AChart1" localSheetId="55" hidden="1">#REF!</definedName>
    <definedName name="__123Graph_AChart1" localSheetId="41" hidden="1">#REF!</definedName>
    <definedName name="__123Graph_AChart1" localSheetId="71" hidden="1">#REF!</definedName>
    <definedName name="__123Graph_AChart1" localSheetId="70" hidden="1">#REF!</definedName>
    <definedName name="__123Graph_AChart1" hidden="1">#REF!</definedName>
    <definedName name="__123Graph_ACurrent" localSheetId="37" hidden="1">#REF!</definedName>
    <definedName name="__123Graph_ACurrent" localSheetId="39" hidden="1">#REF!</definedName>
    <definedName name="__123Graph_ACurrent" localSheetId="36" hidden="1">#REF!</definedName>
    <definedName name="__123Graph_ACurrent" localSheetId="38" hidden="1">#REF!</definedName>
    <definedName name="__123Graph_ACurrent" localSheetId="56" hidden="1">#REF!</definedName>
    <definedName name="__123Graph_ACurrent" localSheetId="42" hidden="1">#REF!</definedName>
    <definedName name="__123Graph_ACurrent" localSheetId="55" hidden="1">#REF!</definedName>
    <definedName name="__123Graph_ACurrent" localSheetId="41" hidden="1">#REF!</definedName>
    <definedName name="__123Graph_ACurrent" localSheetId="71" hidden="1">#REF!</definedName>
    <definedName name="__123Graph_ACurrent" localSheetId="70" hidden="1">#REF!</definedName>
    <definedName name="__123Graph_ACurrent" hidden="1">#REF!</definedName>
    <definedName name="__123Graph_B" localSheetId="23" hidden="1">#REF!</definedName>
    <definedName name="__123Graph_B" localSheetId="5" hidden="1">#REF!</definedName>
    <definedName name="__123Graph_B" localSheetId="37" hidden="1">#REF!</definedName>
    <definedName name="__123Graph_B" localSheetId="39" hidden="1">#REF!</definedName>
    <definedName name="__123Graph_B" localSheetId="7" hidden="1">#REF!</definedName>
    <definedName name="__123Graph_B" localSheetId="22" hidden="1">#REF!</definedName>
    <definedName name="__123Graph_B" localSheetId="4" hidden="1">#REF!</definedName>
    <definedName name="__123Graph_B" localSheetId="36" hidden="1">#REF!</definedName>
    <definedName name="__123Graph_B" localSheetId="38" hidden="1">#REF!</definedName>
    <definedName name="__123Graph_B" localSheetId="6" hidden="1">#REF!</definedName>
    <definedName name="__123Graph_B" localSheetId="56" hidden="1">#REF!</definedName>
    <definedName name="__123Graph_B" localSheetId="42" hidden="1">#REF!</definedName>
    <definedName name="__123Graph_B" localSheetId="55" hidden="1">#REF!</definedName>
    <definedName name="__123Graph_B" localSheetId="41" hidden="1">#REF!</definedName>
    <definedName name="__123Graph_B" localSheetId="71" hidden="1">#REF!</definedName>
    <definedName name="__123Graph_B" localSheetId="70" hidden="1">#REF!</definedName>
    <definedName name="__123Graph_B" hidden="1">#REF!</definedName>
    <definedName name="__123Graph_BChart1" localSheetId="37" hidden="1">#REF!</definedName>
    <definedName name="__123Graph_BChart1" localSheetId="39" hidden="1">#REF!</definedName>
    <definedName name="__123Graph_BChart1" localSheetId="36" hidden="1">#REF!</definedName>
    <definedName name="__123Graph_BChart1" localSheetId="38" hidden="1">#REF!</definedName>
    <definedName name="__123Graph_BChart1" localSheetId="56" hidden="1">#REF!</definedName>
    <definedName name="__123Graph_BChart1" localSheetId="42" hidden="1">#REF!</definedName>
    <definedName name="__123Graph_BChart1" localSheetId="55" hidden="1">#REF!</definedName>
    <definedName name="__123Graph_BChart1" localSheetId="41" hidden="1">#REF!</definedName>
    <definedName name="__123Graph_BChart1" localSheetId="71" hidden="1">#REF!</definedName>
    <definedName name="__123Graph_BChart1" localSheetId="70" hidden="1">#REF!</definedName>
    <definedName name="__123Graph_BChart1" hidden="1">#REF!</definedName>
    <definedName name="__123Graph_BCurrent" localSheetId="37" hidden="1">#REF!</definedName>
    <definedName name="__123Graph_BCurrent" localSheetId="39" hidden="1">#REF!</definedName>
    <definedName name="__123Graph_BCurrent" localSheetId="36" hidden="1">#REF!</definedName>
    <definedName name="__123Graph_BCurrent" localSheetId="38" hidden="1">#REF!</definedName>
    <definedName name="__123Graph_BCurrent" localSheetId="56" hidden="1">#REF!</definedName>
    <definedName name="__123Graph_BCurrent" localSheetId="42" hidden="1">#REF!</definedName>
    <definedName name="__123Graph_BCurrent" localSheetId="55" hidden="1">#REF!</definedName>
    <definedName name="__123Graph_BCurrent" localSheetId="41" hidden="1">#REF!</definedName>
    <definedName name="__123Graph_BCurrent" localSheetId="71" hidden="1">#REF!</definedName>
    <definedName name="__123Graph_BCurrent" localSheetId="70" hidden="1">#REF!</definedName>
    <definedName name="__123Graph_BCurrent" hidden="1">#REF!</definedName>
    <definedName name="__123Graph_C" localSheetId="23" hidden="1">#REF!</definedName>
    <definedName name="__123Graph_C" localSheetId="5" hidden="1">#REF!</definedName>
    <definedName name="__123Graph_C" localSheetId="37" hidden="1">#REF!</definedName>
    <definedName name="__123Graph_C" localSheetId="39" hidden="1">#REF!</definedName>
    <definedName name="__123Graph_C" localSheetId="7" hidden="1">#REF!</definedName>
    <definedName name="__123Graph_C" localSheetId="22" hidden="1">#REF!</definedName>
    <definedName name="__123Graph_C" localSheetId="4" hidden="1">#REF!</definedName>
    <definedName name="__123Graph_C" localSheetId="36" hidden="1">#REF!</definedName>
    <definedName name="__123Graph_C" localSheetId="38" hidden="1">#REF!</definedName>
    <definedName name="__123Graph_C" localSheetId="6" hidden="1">#REF!</definedName>
    <definedName name="__123Graph_C" localSheetId="56" hidden="1">#REF!</definedName>
    <definedName name="__123Graph_C" localSheetId="42" hidden="1">#REF!</definedName>
    <definedName name="__123Graph_C" localSheetId="55" hidden="1">#REF!</definedName>
    <definedName name="__123Graph_C" localSheetId="41" hidden="1">#REF!</definedName>
    <definedName name="__123Graph_C" localSheetId="71" hidden="1">#REF!</definedName>
    <definedName name="__123Graph_C" localSheetId="70" hidden="1">#REF!</definedName>
    <definedName name="__123Graph_C" hidden="1">#REF!</definedName>
    <definedName name="__123Graph_CChart1" localSheetId="37" hidden="1">#REF!</definedName>
    <definedName name="__123Graph_CChart1" localSheetId="39" hidden="1">#REF!</definedName>
    <definedName name="__123Graph_CChart1" localSheetId="36" hidden="1">#REF!</definedName>
    <definedName name="__123Graph_CChart1" localSheetId="38" hidden="1">#REF!</definedName>
    <definedName name="__123Graph_CChart1" localSheetId="56" hidden="1">#REF!</definedName>
    <definedName name="__123Graph_CChart1" localSheetId="42" hidden="1">#REF!</definedName>
    <definedName name="__123Graph_CChart1" localSheetId="55" hidden="1">#REF!</definedName>
    <definedName name="__123Graph_CChart1" localSheetId="41" hidden="1">#REF!</definedName>
    <definedName name="__123Graph_CChart1" localSheetId="71" hidden="1">#REF!</definedName>
    <definedName name="__123Graph_CChart1" localSheetId="70" hidden="1">#REF!</definedName>
    <definedName name="__123Graph_CChart1" hidden="1">#REF!</definedName>
    <definedName name="__123Graph_CCurrent" localSheetId="37" hidden="1">#REF!</definedName>
    <definedName name="__123Graph_CCurrent" localSheetId="39" hidden="1">#REF!</definedName>
    <definedName name="__123Graph_CCurrent" localSheetId="36" hidden="1">#REF!</definedName>
    <definedName name="__123Graph_CCurrent" localSheetId="38" hidden="1">#REF!</definedName>
    <definedName name="__123Graph_CCurrent" localSheetId="56" hidden="1">#REF!</definedName>
    <definedName name="__123Graph_CCurrent" localSheetId="42" hidden="1">#REF!</definedName>
    <definedName name="__123Graph_CCurrent" localSheetId="55" hidden="1">#REF!</definedName>
    <definedName name="__123Graph_CCurrent" localSheetId="41" hidden="1">#REF!</definedName>
    <definedName name="__123Graph_CCurrent" localSheetId="71" hidden="1">#REF!</definedName>
    <definedName name="__123Graph_CCurrent" localSheetId="70" hidden="1">#REF!</definedName>
    <definedName name="__123Graph_CCurrent" hidden="1">#REF!</definedName>
    <definedName name="__123Graph_D" localSheetId="23" hidden="1">#REF!</definedName>
    <definedName name="__123Graph_D" localSheetId="5" hidden="1">#REF!</definedName>
    <definedName name="__123Graph_D" localSheetId="37" hidden="1">#REF!</definedName>
    <definedName name="__123Graph_D" localSheetId="39" hidden="1">#REF!</definedName>
    <definedName name="__123Graph_D" localSheetId="7" hidden="1">#REF!</definedName>
    <definedName name="__123Graph_D" localSheetId="22" hidden="1">#REF!</definedName>
    <definedName name="__123Graph_D" localSheetId="4" hidden="1">#REF!</definedName>
    <definedName name="__123Graph_D" localSheetId="36" hidden="1">#REF!</definedName>
    <definedName name="__123Graph_D" localSheetId="38" hidden="1">#REF!</definedName>
    <definedName name="__123Graph_D" localSheetId="6" hidden="1">#REF!</definedName>
    <definedName name="__123Graph_D" localSheetId="56" hidden="1">#REF!</definedName>
    <definedName name="__123Graph_D" localSheetId="42" hidden="1">#REF!</definedName>
    <definedName name="__123Graph_D" localSheetId="55" hidden="1">#REF!</definedName>
    <definedName name="__123Graph_D" localSheetId="41" hidden="1">#REF!</definedName>
    <definedName name="__123Graph_D" localSheetId="71" hidden="1">#REF!</definedName>
    <definedName name="__123Graph_D" localSheetId="70" hidden="1">#REF!</definedName>
    <definedName name="__123Graph_D" hidden="1">#REF!</definedName>
    <definedName name="__123Graph_DChart1" localSheetId="37" hidden="1">#REF!</definedName>
    <definedName name="__123Graph_DChart1" localSheetId="39" hidden="1">#REF!</definedName>
    <definedName name="__123Graph_DChart1" localSheetId="36" hidden="1">#REF!</definedName>
    <definedName name="__123Graph_DChart1" localSheetId="38" hidden="1">#REF!</definedName>
    <definedName name="__123Graph_DChart1" localSheetId="56" hidden="1">#REF!</definedName>
    <definedName name="__123Graph_DChart1" localSheetId="42" hidden="1">#REF!</definedName>
    <definedName name="__123Graph_DChart1" localSheetId="55" hidden="1">#REF!</definedName>
    <definedName name="__123Graph_DChart1" localSheetId="41" hidden="1">#REF!</definedName>
    <definedName name="__123Graph_DChart1" localSheetId="71" hidden="1">#REF!</definedName>
    <definedName name="__123Graph_DChart1" localSheetId="70" hidden="1">#REF!</definedName>
    <definedName name="__123Graph_DChart1" hidden="1">#REF!</definedName>
    <definedName name="__123Graph_DCurrent" localSheetId="37" hidden="1">#REF!</definedName>
    <definedName name="__123Graph_DCurrent" localSheetId="39" hidden="1">#REF!</definedName>
    <definedName name="__123Graph_DCurrent" localSheetId="36" hidden="1">#REF!</definedName>
    <definedName name="__123Graph_DCurrent" localSheetId="38" hidden="1">#REF!</definedName>
    <definedName name="__123Graph_DCurrent" localSheetId="56" hidden="1">#REF!</definedName>
    <definedName name="__123Graph_DCurrent" localSheetId="42" hidden="1">#REF!</definedName>
    <definedName name="__123Graph_DCurrent" localSheetId="55" hidden="1">#REF!</definedName>
    <definedName name="__123Graph_DCurrent" localSheetId="41" hidden="1">#REF!</definedName>
    <definedName name="__123Graph_DCurrent" localSheetId="71" hidden="1">#REF!</definedName>
    <definedName name="__123Graph_DCurrent" localSheetId="70" hidden="1">#REF!</definedName>
    <definedName name="__123Graph_DCurrent" hidden="1">#REF!</definedName>
    <definedName name="__123Graph_E" localSheetId="23" hidden="1">#REF!</definedName>
    <definedName name="__123Graph_E" localSheetId="5" hidden="1">#REF!</definedName>
    <definedName name="__123Graph_E" localSheetId="37" hidden="1">#REF!</definedName>
    <definedName name="__123Graph_E" localSheetId="39" hidden="1">#REF!</definedName>
    <definedName name="__123Graph_E" localSheetId="7" hidden="1">#REF!</definedName>
    <definedName name="__123Graph_E" localSheetId="22" hidden="1">#REF!</definedName>
    <definedName name="__123Graph_E" localSheetId="4" hidden="1">#REF!</definedName>
    <definedName name="__123Graph_E" localSheetId="36" hidden="1">#REF!</definedName>
    <definedName name="__123Graph_E" localSheetId="38" hidden="1">#REF!</definedName>
    <definedName name="__123Graph_E" localSheetId="6" hidden="1">#REF!</definedName>
    <definedName name="__123Graph_E" localSheetId="56" hidden="1">#REF!</definedName>
    <definedName name="__123Graph_E" localSheetId="42" hidden="1">#REF!</definedName>
    <definedName name="__123Graph_E" localSheetId="55" hidden="1">#REF!</definedName>
    <definedName name="__123Graph_E" localSheetId="41" hidden="1">#REF!</definedName>
    <definedName name="__123Graph_E" localSheetId="71" hidden="1">#REF!</definedName>
    <definedName name="__123Graph_E" localSheetId="70" hidden="1">#REF!</definedName>
    <definedName name="__123Graph_E" hidden="1">#REF!</definedName>
    <definedName name="__123Graph_EChart1" localSheetId="37" hidden="1">#REF!</definedName>
    <definedName name="__123Graph_EChart1" localSheetId="39" hidden="1">#REF!</definedName>
    <definedName name="__123Graph_EChart1" localSheetId="36" hidden="1">#REF!</definedName>
    <definedName name="__123Graph_EChart1" localSheetId="38" hidden="1">#REF!</definedName>
    <definedName name="__123Graph_EChart1" localSheetId="56" hidden="1">#REF!</definedName>
    <definedName name="__123Graph_EChart1" localSheetId="42" hidden="1">#REF!</definedName>
    <definedName name="__123Graph_EChart1" localSheetId="55" hidden="1">#REF!</definedName>
    <definedName name="__123Graph_EChart1" localSheetId="41" hidden="1">#REF!</definedName>
    <definedName name="__123Graph_EChart1" localSheetId="71" hidden="1">#REF!</definedName>
    <definedName name="__123Graph_EChart1" localSheetId="70" hidden="1">#REF!</definedName>
    <definedName name="__123Graph_EChart1" hidden="1">#REF!</definedName>
    <definedName name="__123Graph_ECurrent" localSheetId="37" hidden="1">#REF!</definedName>
    <definedName name="__123Graph_ECurrent" localSheetId="39" hidden="1">#REF!</definedName>
    <definedName name="__123Graph_ECurrent" localSheetId="36" hidden="1">#REF!</definedName>
    <definedName name="__123Graph_ECurrent" localSheetId="38" hidden="1">#REF!</definedName>
    <definedName name="__123Graph_ECurrent" localSheetId="56" hidden="1">#REF!</definedName>
    <definedName name="__123Graph_ECurrent" localSheetId="42" hidden="1">#REF!</definedName>
    <definedName name="__123Graph_ECurrent" localSheetId="55" hidden="1">#REF!</definedName>
    <definedName name="__123Graph_ECurrent" localSheetId="41" hidden="1">#REF!</definedName>
    <definedName name="__123Graph_ECurrent" localSheetId="71" hidden="1">#REF!</definedName>
    <definedName name="__123Graph_ECurrent" localSheetId="70" hidden="1">#REF!</definedName>
    <definedName name="__123Graph_ECurrent" hidden="1">#REF!</definedName>
    <definedName name="__123Graph_F" localSheetId="23" hidden="1">#REF!</definedName>
    <definedName name="__123Graph_F" localSheetId="5" hidden="1">#REF!</definedName>
    <definedName name="__123Graph_F" localSheetId="37" hidden="1">#REF!</definedName>
    <definedName name="__123Graph_F" localSheetId="39" hidden="1">#REF!</definedName>
    <definedName name="__123Graph_F" localSheetId="7" hidden="1">#REF!</definedName>
    <definedName name="__123Graph_F" localSheetId="22" hidden="1">#REF!</definedName>
    <definedName name="__123Graph_F" localSheetId="4" hidden="1">#REF!</definedName>
    <definedName name="__123Graph_F" localSheetId="36" hidden="1">#REF!</definedName>
    <definedName name="__123Graph_F" localSheetId="38" hidden="1">#REF!</definedName>
    <definedName name="__123Graph_F" localSheetId="6" hidden="1">#REF!</definedName>
    <definedName name="__123Graph_F" localSheetId="56" hidden="1">#REF!</definedName>
    <definedName name="__123Graph_F" localSheetId="42" hidden="1">#REF!</definedName>
    <definedName name="__123Graph_F" localSheetId="55" hidden="1">#REF!</definedName>
    <definedName name="__123Graph_F" localSheetId="41" hidden="1">#REF!</definedName>
    <definedName name="__123Graph_F" localSheetId="71" hidden="1">#REF!</definedName>
    <definedName name="__123Graph_F" localSheetId="70" hidden="1">#REF!</definedName>
    <definedName name="__123Graph_F" hidden="1">#REF!</definedName>
    <definedName name="__123Graph_FChart1" localSheetId="37" hidden="1">#REF!</definedName>
    <definedName name="__123Graph_FChart1" localSheetId="39" hidden="1">#REF!</definedName>
    <definedName name="__123Graph_FChart1" localSheetId="36" hidden="1">#REF!</definedName>
    <definedName name="__123Graph_FChart1" localSheetId="38" hidden="1">#REF!</definedName>
    <definedName name="__123Graph_FChart1" localSheetId="56" hidden="1">#REF!</definedName>
    <definedName name="__123Graph_FChart1" localSheetId="42" hidden="1">#REF!</definedName>
    <definedName name="__123Graph_FChart1" localSheetId="55" hidden="1">#REF!</definedName>
    <definedName name="__123Graph_FChart1" localSheetId="41" hidden="1">#REF!</definedName>
    <definedName name="__123Graph_FChart1" localSheetId="71" hidden="1">#REF!</definedName>
    <definedName name="__123Graph_FChart1" localSheetId="70" hidden="1">#REF!</definedName>
    <definedName name="__123Graph_FChart1" hidden="1">#REF!</definedName>
    <definedName name="__123Graph_FCurrent" localSheetId="37" hidden="1">#REF!</definedName>
    <definedName name="__123Graph_FCurrent" localSheetId="39" hidden="1">#REF!</definedName>
    <definedName name="__123Graph_FCurrent" localSheetId="36" hidden="1">#REF!</definedName>
    <definedName name="__123Graph_FCurrent" localSheetId="38" hidden="1">#REF!</definedName>
    <definedName name="__123Graph_FCurrent" localSheetId="56" hidden="1">#REF!</definedName>
    <definedName name="__123Graph_FCurrent" localSheetId="42" hidden="1">#REF!</definedName>
    <definedName name="__123Graph_FCurrent" localSheetId="55" hidden="1">#REF!</definedName>
    <definedName name="__123Graph_FCurrent" localSheetId="41" hidden="1">#REF!</definedName>
    <definedName name="__123Graph_FCurrent" localSheetId="71" hidden="1">#REF!</definedName>
    <definedName name="__123Graph_FCurrent" localSheetId="70" hidden="1">#REF!</definedName>
    <definedName name="__123Graph_FCurrent" hidden="1">#REF!</definedName>
    <definedName name="__123Graph_X" localSheetId="23" hidden="1">#REF!</definedName>
    <definedName name="__123Graph_X" localSheetId="5" hidden="1">#REF!</definedName>
    <definedName name="__123Graph_X" localSheetId="37" hidden="1">#REF!</definedName>
    <definedName name="__123Graph_X" localSheetId="39" hidden="1">#REF!</definedName>
    <definedName name="__123Graph_X" localSheetId="7" hidden="1">#REF!</definedName>
    <definedName name="__123Graph_X" localSheetId="22" hidden="1">#REF!</definedName>
    <definedName name="__123Graph_X" localSheetId="4" hidden="1">#REF!</definedName>
    <definedName name="__123Graph_X" localSheetId="36" hidden="1">#REF!</definedName>
    <definedName name="__123Graph_X" localSheetId="38" hidden="1">#REF!</definedName>
    <definedName name="__123Graph_X" localSheetId="6" hidden="1">#REF!</definedName>
    <definedName name="__123Graph_X" localSheetId="56" hidden="1">#REF!</definedName>
    <definedName name="__123Graph_X" localSheetId="42" hidden="1">#REF!</definedName>
    <definedName name="__123Graph_X" localSheetId="55" hidden="1">#REF!</definedName>
    <definedName name="__123Graph_X" localSheetId="41" hidden="1">#REF!</definedName>
    <definedName name="__123Graph_X" localSheetId="71" hidden="1">#REF!</definedName>
    <definedName name="__123Graph_X" localSheetId="70" hidden="1">#REF!</definedName>
    <definedName name="__123Graph_X" hidden="1">#REF!</definedName>
    <definedName name="_xlnm._FilterDatabase" localSheetId="46" hidden="1">'LO2 A10'!$B$17:$J$317</definedName>
    <definedName name="_xlnm._FilterDatabase" localSheetId="48" hidden="1">'LO2 A11'!$C$24:$K$1024</definedName>
    <definedName name="_xlnm._FilterDatabase" localSheetId="45" hidden="1">'LO2 Q10'!$B$17:$J$317</definedName>
    <definedName name="_xlnm._FilterDatabase" localSheetId="47" hidden="1">'LO2 Q11'!$C$24:$K$1024</definedName>
    <definedName name="_Key1" localSheetId="23" hidden="1">#REF!</definedName>
    <definedName name="_Key1" localSheetId="5" hidden="1">#REF!</definedName>
    <definedName name="_Key1" localSheetId="37" hidden="1">#REF!</definedName>
    <definedName name="_Key1" localSheetId="39" hidden="1">#REF!</definedName>
    <definedName name="_Key1" localSheetId="7" hidden="1">#REF!</definedName>
    <definedName name="_Key1" localSheetId="22" hidden="1">#REF!</definedName>
    <definedName name="_Key1" localSheetId="4" hidden="1">#REF!</definedName>
    <definedName name="_Key1" localSheetId="36" hidden="1">#REF!</definedName>
    <definedName name="_Key1" localSheetId="38" hidden="1">#REF!</definedName>
    <definedName name="_Key1" localSheetId="6" hidden="1">#REF!</definedName>
    <definedName name="_Key1" localSheetId="56" hidden="1">#REF!</definedName>
    <definedName name="_Key1" localSheetId="42" hidden="1">#REF!</definedName>
    <definedName name="_Key1" localSheetId="55" hidden="1">#REF!</definedName>
    <definedName name="_Key1" localSheetId="41" hidden="1">#REF!</definedName>
    <definedName name="_Key1" localSheetId="71" hidden="1">#REF!</definedName>
    <definedName name="_Key1" localSheetId="70" hidden="1">#REF!</definedName>
    <definedName name="_Key1" hidden="1">#REF!</definedName>
    <definedName name="_Order1" hidden="1">255</definedName>
    <definedName name="_Order2" hidden="1">255</definedName>
    <definedName name="_Sort" localSheetId="23" hidden="1">#REF!</definedName>
    <definedName name="_Sort" localSheetId="5" hidden="1">#REF!</definedName>
    <definedName name="_Sort" localSheetId="37" hidden="1">#REF!</definedName>
    <definedName name="_Sort" localSheetId="39" hidden="1">#REF!</definedName>
    <definedName name="_Sort" localSheetId="7" hidden="1">#REF!</definedName>
    <definedName name="_Sort" localSheetId="22" hidden="1">#REF!</definedName>
    <definedName name="_Sort" localSheetId="4" hidden="1">#REF!</definedName>
    <definedName name="_Sort" localSheetId="36" hidden="1">#REF!</definedName>
    <definedName name="_Sort" localSheetId="38" hidden="1">#REF!</definedName>
    <definedName name="_Sort" localSheetId="6" hidden="1">#REF!</definedName>
    <definedName name="_Sort" localSheetId="56" hidden="1">#REF!</definedName>
    <definedName name="_Sort" localSheetId="42" hidden="1">#REF!</definedName>
    <definedName name="_Sort" localSheetId="55" hidden="1">#REF!</definedName>
    <definedName name="_Sort" localSheetId="41" hidden="1">#REF!</definedName>
    <definedName name="_Sort" localSheetId="71" hidden="1">#REF!</definedName>
    <definedName name="_Sort" localSheetId="70" hidden="1">#REF!</definedName>
    <definedName name="_Sort" hidden="1">#REF!</definedName>
    <definedName name="_Table1_Out" localSheetId="23" hidden="1">#REF!</definedName>
    <definedName name="_Table1_Out" localSheetId="5" hidden="1">#REF!</definedName>
    <definedName name="_Table1_Out" localSheetId="37" hidden="1">#REF!</definedName>
    <definedName name="_Table1_Out" localSheetId="39" hidden="1">#REF!</definedName>
    <definedName name="_Table1_Out" localSheetId="7" hidden="1">#REF!</definedName>
    <definedName name="_Table1_Out" localSheetId="22" hidden="1">#REF!</definedName>
    <definedName name="_Table1_Out" localSheetId="4" hidden="1">#REF!</definedName>
    <definedName name="_Table1_Out" localSheetId="36" hidden="1">#REF!</definedName>
    <definedName name="_Table1_Out" localSheetId="38" hidden="1">#REF!</definedName>
    <definedName name="_Table1_Out" localSheetId="6" hidden="1">#REF!</definedName>
    <definedName name="_Table1_Out" localSheetId="56" hidden="1">#REF!</definedName>
    <definedName name="_Table1_Out" localSheetId="42" hidden="1">#REF!</definedName>
    <definedName name="_Table1_Out" localSheetId="55" hidden="1">#REF!</definedName>
    <definedName name="_Table1_Out" localSheetId="41" hidden="1">#REF!</definedName>
    <definedName name="_Table1_Out" localSheetId="71" hidden="1">#REF!</definedName>
    <definedName name="_Table1_Out" localSheetId="70" hidden="1">#REF!</definedName>
    <definedName name="_Table1_Out" hidden="1">#REF!</definedName>
    <definedName name="Allocations">#REF!</definedName>
    <definedName name="asd" localSheetId="37" hidden="1">#REF!</definedName>
    <definedName name="asd" localSheetId="39" hidden="1">#REF!</definedName>
    <definedName name="asd" localSheetId="36" hidden="1">#REF!</definedName>
    <definedName name="asd" localSheetId="38" hidden="1">#REF!</definedName>
    <definedName name="asd" localSheetId="56" hidden="1">#REF!</definedName>
    <definedName name="asd" localSheetId="42" hidden="1">#REF!</definedName>
    <definedName name="asd" localSheetId="55" hidden="1">#REF!</definedName>
    <definedName name="asd" localSheetId="41" hidden="1">#REF!</definedName>
    <definedName name="asd" localSheetId="71" hidden="1">#REF!</definedName>
    <definedName name="asd" localSheetId="70" hidden="1">#REF!</definedName>
    <definedName name="asd" hidden="1">#REF!</definedName>
    <definedName name="asda" localSheetId="37" hidden="1">#REF!</definedName>
    <definedName name="asda" localSheetId="39" hidden="1">#REF!</definedName>
    <definedName name="asda" localSheetId="36" hidden="1">#REF!</definedName>
    <definedName name="asda" localSheetId="38" hidden="1">#REF!</definedName>
    <definedName name="asda" localSheetId="56" hidden="1">#REF!</definedName>
    <definedName name="asda" localSheetId="42" hidden="1">#REF!</definedName>
    <definedName name="asda" localSheetId="55" hidden="1">#REF!</definedName>
    <definedName name="asda" localSheetId="41" hidden="1">#REF!</definedName>
    <definedName name="asda" localSheetId="71" hidden="1">#REF!</definedName>
    <definedName name="asda" localSheetId="70" hidden="1">#REF!</definedName>
    <definedName name="asda" hidden="1">#REF!</definedName>
    <definedName name="cindy" localSheetId="37" hidden="1">#REF!</definedName>
    <definedName name="cindy" localSheetId="39" hidden="1">#REF!</definedName>
    <definedName name="cindy" localSheetId="36" hidden="1">#REF!</definedName>
    <definedName name="cindy" localSheetId="38" hidden="1">#REF!</definedName>
    <definedName name="cindy" localSheetId="56" hidden="1">#REF!</definedName>
    <definedName name="cindy" localSheetId="42" hidden="1">#REF!</definedName>
    <definedName name="cindy" localSheetId="55" hidden="1">#REF!</definedName>
    <definedName name="cindy" localSheetId="41" hidden="1">#REF!</definedName>
    <definedName name="cindy" localSheetId="71" hidden="1">#REF!</definedName>
    <definedName name="cindy" localSheetId="70" hidden="1">#REF!</definedName>
    <definedName name="cindy" hidden="1">#REF!</definedName>
    <definedName name="ddd" localSheetId="23" hidden="1">#REF!</definedName>
    <definedName name="ddd" localSheetId="5" hidden="1">#REF!</definedName>
    <definedName name="ddd" localSheetId="37" hidden="1">#REF!</definedName>
    <definedName name="ddd" localSheetId="39" hidden="1">#REF!</definedName>
    <definedName name="ddd" localSheetId="7" hidden="1">#REF!</definedName>
    <definedName name="ddd" localSheetId="22" hidden="1">#REF!</definedName>
    <definedName name="ddd" localSheetId="4" hidden="1">#REF!</definedName>
    <definedName name="ddd" localSheetId="36" hidden="1">#REF!</definedName>
    <definedName name="ddd" localSheetId="38" hidden="1">#REF!</definedName>
    <definedName name="ddd" localSheetId="6" hidden="1">#REF!</definedName>
    <definedName name="ddd" localSheetId="56" hidden="1">#REF!</definedName>
    <definedName name="ddd" localSheetId="42" hidden="1">#REF!</definedName>
    <definedName name="ddd" localSheetId="55" hidden="1">#REF!</definedName>
    <definedName name="ddd" localSheetId="41" hidden="1">#REF!</definedName>
    <definedName name="ddd" localSheetId="71" hidden="1">#REF!</definedName>
    <definedName name="ddd" localSheetId="70" hidden="1">#REF!</definedName>
    <definedName name="ddd" hidden="1">#REF!</definedName>
    <definedName name="Graph" localSheetId="37" hidden="1">#REF!</definedName>
    <definedName name="Graph" localSheetId="39" hidden="1">#REF!</definedName>
    <definedName name="Graph" localSheetId="36" hidden="1">#REF!</definedName>
    <definedName name="Graph" localSheetId="38" hidden="1">#REF!</definedName>
    <definedName name="Graph" localSheetId="56" hidden="1">#REF!</definedName>
    <definedName name="Graph" localSheetId="42" hidden="1">#REF!</definedName>
    <definedName name="Graph" localSheetId="55" hidden="1">#REF!</definedName>
    <definedName name="Graph" localSheetId="41" hidden="1">#REF!</definedName>
    <definedName name="Graph" localSheetId="71" hidden="1">#REF!</definedName>
    <definedName name="Graph" localSheetId="70" hidden="1">#REF!</definedName>
    <definedName name="Graph" hidden="1">#REF!</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lambda">#REF!</definedName>
    <definedName name="New123graph" localSheetId="37" hidden="1">#REF!</definedName>
    <definedName name="New123graph" localSheetId="39" hidden="1">#REF!</definedName>
    <definedName name="New123graph" localSheetId="36" hidden="1">#REF!</definedName>
    <definedName name="New123graph" localSheetId="38" hidden="1">#REF!</definedName>
    <definedName name="New123graph" localSheetId="56" hidden="1">#REF!</definedName>
    <definedName name="New123graph" localSheetId="42" hidden="1">#REF!</definedName>
    <definedName name="New123graph" localSheetId="55" hidden="1">#REF!</definedName>
    <definedName name="New123graph" localSheetId="41" hidden="1">#REF!</definedName>
    <definedName name="New123graph" localSheetId="71" hidden="1">#REF!</definedName>
    <definedName name="New123graph" localSheetId="70" hidden="1">#REF!</definedName>
    <definedName name="New123graph" hidden="1">#REF!</definedName>
    <definedName name="newrange" localSheetId="37" hidden="1">#REF!</definedName>
    <definedName name="newrange" localSheetId="39" hidden="1">#REF!</definedName>
    <definedName name="newrange" localSheetId="36" hidden="1">#REF!</definedName>
    <definedName name="newrange" localSheetId="38" hidden="1">#REF!</definedName>
    <definedName name="newrange" localSheetId="56" hidden="1">#REF!</definedName>
    <definedName name="newrange" localSheetId="42" hidden="1">#REF!</definedName>
    <definedName name="newrange" localSheetId="55" hidden="1">#REF!</definedName>
    <definedName name="newrange" localSheetId="41" hidden="1">#REF!</definedName>
    <definedName name="newrange" localSheetId="71" hidden="1">#REF!</definedName>
    <definedName name="newrange" localSheetId="70" hidden="1">#REF!</definedName>
    <definedName name="newrange" hidden="1">#REF!</definedName>
    <definedName name="qwe" localSheetId="37" hidden="1">#REF!</definedName>
    <definedName name="qwe" localSheetId="39" hidden="1">#REF!</definedName>
    <definedName name="qwe" localSheetId="36" hidden="1">#REF!</definedName>
    <definedName name="qwe" localSheetId="38" hidden="1">#REF!</definedName>
    <definedName name="qwe" localSheetId="56" hidden="1">#REF!</definedName>
    <definedName name="qwe" localSheetId="42" hidden="1">#REF!</definedName>
    <definedName name="qwe" localSheetId="55" hidden="1">#REF!</definedName>
    <definedName name="qwe" localSheetId="41" hidden="1">#REF!</definedName>
    <definedName name="qwe" localSheetId="71" hidden="1">#REF!</definedName>
    <definedName name="qwe" localSheetId="70" hidden="1">#REF!</definedName>
    <definedName name="qwe" hidden="1">#REF!</definedName>
    <definedName name="Total">#REF!</definedName>
    <definedName name="wer" localSheetId="37" hidden="1">#REF!</definedName>
    <definedName name="wer" localSheetId="39" hidden="1">#REF!</definedName>
    <definedName name="wer" localSheetId="36" hidden="1">#REF!</definedName>
    <definedName name="wer" localSheetId="38" hidden="1">#REF!</definedName>
    <definedName name="wer" localSheetId="56" hidden="1">#REF!</definedName>
    <definedName name="wer" localSheetId="42" hidden="1">#REF!</definedName>
    <definedName name="wer" localSheetId="55" hidden="1">#REF!</definedName>
    <definedName name="wer" localSheetId="41" hidden="1">#REF!</definedName>
    <definedName name="wer" localSheetId="71" hidden="1">#REF!</definedName>
    <definedName name="wer" localSheetId="70" hidden="1">#REF!</definedName>
    <definedName name="wer" hidden="1">#REF!</definedName>
    <definedName name="wrn.Adjusted._.Mod._.Managed." localSheetId="1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Optimal." localSheetId="17" hidden="1">{"OM Visits",#N/A,TRUE,"Optimal";"OM Dollars per Hour",#N/A,TRUE,"Optimal";"OM Hours per Visit",#N/A,TRUE,"Optimal";"OM Dollars per Visit",#N/A,TRUE,"Optimal";"OM Total Visits",#N/A,TRUE,"Optimal";"OM PMPM",#N/A,TRUE,"Optimal"}</definedName>
    <definedName name="wrn.Adjusted._.Optimal." localSheetId="19" hidden="1">{"OM Visits",#N/A,TRUE,"Optimal";"OM Dollars per Hour",#N/A,TRUE,"Optimal";"OM Hours per Visit",#N/A,TRUE,"Optimal";"OM Dollars per Visit",#N/A,TRUE,"Optimal";"OM Total Visits",#N/A,TRUE,"Optimal";"OM PMPM",#N/A,TRUE,"Optimal"}</definedName>
    <definedName name="wrn.Adjusted._.Optimal." localSheetId="21" hidden="1">{"OM Visits",#N/A,TRUE,"Optimal";"OM Dollars per Hour",#N/A,TRUE,"Optimal";"OM Hours per Visit",#N/A,TRUE,"Optimal";"OM Dollars per Visit",#N/A,TRUE,"Optimal";"OM Total Visits",#N/A,TRUE,"Optimal";"OM PMPM",#N/A,TRUE,"Optimal"}</definedName>
    <definedName name="wrn.Adjusted._.Optimal." localSheetId="23" hidden="1">{"OM Visits",#N/A,TRUE,"Optimal";"OM Dollars per Hour",#N/A,TRUE,"Optimal";"OM Hours per Visit",#N/A,TRUE,"Optimal";"OM Dollars per Visit",#N/A,TRUE,"Optimal";"OM Total Visits",#N/A,TRUE,"Optimal";"OM PMPM",#N/A,TRUE,"Optimal"}</definedName>
    <definedName name="wrn.Adjusted._.Optimal." localSheetId="25" hidden="1">{"OM Visits",#N/A,TRUE,"Optimal";"OM Dollars per Hour",#N/A,TRUE,"Optimal";"OM Hours per Visit",#N/A,TRUE,"Optimal";"OM Dollars per Visit",#N/A,TRUE,"Optimal";"OM Total Visits",#N/A,TRUE,"Optimal";"OM PMPM",#N/A,TRUE,"Optimal"}</definedName>
    <definedName name="wrn.Adjusted._.Optimal." localSheetId="27" hidden="1">{"OM Visits",#N/A,TRUE,"Optimal";"OM Dollars per Hour",#N/A,TRUE,"Optimal";"OM Hours per Visit",#N/A,TRUE,"Optimal";"OM Dollars per Visit",#N/A,TRUE,"Optimal";"OM Total Visits",#N/A,TRUE,"Optimal";"OM PMPM",#N/A,TRUE,"Optimal"}</definedName>
    <definedName name="wrn.Adjusted._.Optimal." localSheetId="29" hidden="1">{"OM Visits",#N/A,TRUE,"Optimal";"OM Dollars per Hour",#N/A,TRUE,"Optimal";"OM Hours per Visit",#N/A,TRUE,"Optimal";"OM Dollars per Visit",#N/A,TRUE,"Optimal";"OM Total Visits",#N/A,TRUE,"Optimal";"OM PMPM",#N/A,TRUE,"Optimal"}</definedName>
    <definedName name="wrn.Adjusted._.Optimal." localSheetId="31" hidden="1">{"OM Visits",#N/A,TRUE,"Optimal";"OM Dollars per Hour",#N/A,TRUE,"Optimal";"OM Hours per Visit",#N/A,TRUE,"Optimal";"OM Dollars per Visit",#N/A,TRUE,"Optimal";"OM Total Visits",#N/A,TRUE,"Optimal";"OM PMPM",#N/A,TRUE,"Optimal"}</definedName>
    <definedName name="wrn.Adjusted._.Optimal." localSheetId="5" hidden="1">{"OM Visits",#N/A,TRUE,"Optimal";"OM Dollars per Hour",#N/A,TRUE,"Optimal";"OM Hours per Visit",#N/A,TRUE,"Optimal";"OM Dollars per Visit",#N/A,TRUE,"Optimal";"OM Total Visits",#N/A,TRUE,"Optimal";"OM PMPM",#N/A,TRUE,"Optimal"}</definedName>
    <definedName name="wrn.Adjusted._.Optimal." localSheetId="33" hidden="1">{"OM Visits",#N/A,TRUE,"Optimal";"OM Dollars per Hour",#N/A,TRUE,"Optimal";"OM Hours per Visit",#N/A,TRUE,"Optimal";"OM Dollars per Visit",#N/A,TRUE,"Optimal";"OM Total Visits",#N/A,TRUE,"Optimal";"OM PMPM",#N/A,TRUE,"Optimal"}</definedName>
    <definedName name="wrn.Adjusted._.Optimal." localSheetId="35" hidden="1">{"OM Visits",#N/A,TRUE,"Optimal";"OM Dollars per Hour",#N/A,TRUE,"Optimal";"OM Hours per Visit",#N/A,TRUE,"Optimal";"OM Dollars per Visit",#N/A,TRUE,"Optimal";"OM Total Visits",#N/A,TRUE,"Optimal";"OM PMPM",#N/A,TRUE,"Optimal"}</definedName>
    <definedName name="wrn.Adjusted._.Optimal." localSheetId="37" hidden="1">{"OM Visits",#N/A,TRUE,"Optimal";"OM Dollars per Hour",#N/A,TRUE,"Optimal";"OM Hours per Visit",#N/A,TRUE,"Optimal";"OM Dollars per Visit",#N/A,TRUE,"Optimal";"OM Total Visits",#N/A,TRUE,"Optimal";"OM PMPM",#N/A,TRUE,"Optimal"}</definedName>
    <definedName name="wrn.Adjusted._.Optimal." localSheetId="39" hidden="1">{"OM Visits",#N/A,TRUE,"Optimal";"OM Dollars per Hour",#N/A,TRUE,"Optimal";"OM Hours per Visit",#N/A,TRUE,"Optimal";"OM Dollars per Visit",#N/A,TRUE,"Optimal";"OM Total Visits",#N/A,TRUE,"Optimal";"OM PMPM",#N/A,TRUE,"Optimal"}</definedName>
    <definedName name="wrn.Adjusted._.Optimal." localSheetId="7" hidden="1">{"OM Visits",#N/A,TRUE,"Optimal";"OM Dollars per Hour",#N/A,TRUE,"Optimal";"OM Hours per Visit",#N/A,TRUE,"Optimal";"OM Dollars per Visit",#N/A,TRUE,"Optimal";"OM Total Visits",#N/A,TRUE,"Optimal";"OM PMPM",#N/A,TRUE,"Optimal"}</definedName>
    <definedName name="wrn.Adjusted._.Optimal." localSheetId="9" hidden="1">{"OM Visits",#N/A,TRUE,"Optimal";"OM Dollars per Hour",#N/A,TRUE,"Optimal";"OM Hours per Visit",#N/A,TRUE,"Optimal";"OM Dollars per Visit",#N/A,TRUE,"Optimal";"OM Total Visits",#N/A,TRUE,"Optimal";"OM PMPM",#N/A,TRUE,"Optimal"}</definedName>
    <definedName name="wrn.Adjusted._.Optimal." localSheetId="11" hidden="1">{"OM Visits",#N/A,TRUE,"Optimal";"OM Dollars per Hour",#N/A,TRUE,"Optimal";"OM Hours per Visit",#N/A,TRUE,"Optimal";"OM Dollars per Visit",#N/A,TRUE,"Optimal";"OM Total Visits",#N/A,TRUE,"Optimal";"OM PMPM",#N/A,TRUE,"Optimal"}</definedName>
    <definedName name="wrn.Adjusted._.Optimal." localSheetId="13" hidden="1">{"OM Visits",#N/A,TRUE,"Optimal";"OM Dollars per Hour",#N/A,TRUE,"Optimal";"OM Hours per Visit",#N/A,TRUE,"Optimal";"OM Dollars per Visit",#N/A,TRUE,"Optimal";"OM Total Visits",#N/A,TRUE,"Optimal";"OM PMPM",#N/A,TRUE,"Optimal"}</definedName>
    <definedName name="wrn.Adjusted._.Optimal." localSheetId="15" hidden="1">{"OM Visits",#N/A,TRUE,"Optimal";"OM Dollars per Hour",#N/A,TRUE,"Optimal";"OM Hours per Visit",#N/A,TRUE,"Optimal";"OM Dollars per Visit",#N/A,TRUE,"Optimal";"OM Total Visits",#N/A,TRUE,"Optimal";"OM PMPM",#N/A,TRUE,"Optimal"}</definedName>
    <definedName name="wrn.Adjusted._.Optimal." localSheetId="16" hidden="1">{"OM Visits",#N/A,TRUE,"Optimal";"OM Dollars per Hour",#N/A,TRUE,"Optimal";"OM Hours per Visit",#N/A,TRUE,"Optimal";"OM Dollars per Visit",#N/A,TRUE,"Optimal";"OM Total Visits",#N/A,TRUE,"Optimal";"OM PMPM",#N/A,TRUE,"Optimal"}</definedName>
    <definedName name="wrn.Adjusted._.Optimal." localSheetId="18" hidden="1">{"OM Visits",#N/A,TRUE,"Optimal";"OM Dollars per Hour",#N/A,TRUE,"Optimal";"OM Hours per Visit",#N/A,TRUE,"Optimal";"OM Dollars per Visit",#N/A,TRUE,"Optimal";"OM Total Visits",#N/A,TRUE,"Optimal";"OM PMPM",#N/A,TRUE,"Optimal"}</definedName>
    <definedName name="wrn.Adjusted._.Optimal." localSheetId="20" hidden="1">{"OM Visits",#N/A,TRUE,"Optimal";"OM Dollars per Hour",#N/A,TRUE,"Optimal";"OM Hours per Visit",#N/A,TRUE,"Optimal";"OM Dollars per Visit",#N/A,TRUE,"Optimal";"OM Total Visits",#N/A,TRUE,"Optimal";"OM PMPM",#N/A,TRUE,"Optimal"}</definedName>
    <definedName name="wrn.Adjusted._.Optimal." localSheetId="22" hidden="1">{"OM Visits",#N/A,TRUE,"Optimal";"OM Dollars per Hour",#N/A,TRUE,"Optimal";"OM Hours per Visit",#N/A,TRUE,"Optimal";"OM Dollars per Visit",#N/A,TRUE,"Optimal";"OM Total Visits",#N/A,TRUE,"Optimal";"OM PMPM",#N/A,TRUE,"Optimal"}</definedName>
    <definedName name="wrn.Adjusted._.Optimal." localSheetId="24" hidden="1">{"OM Visits",#N/A,TRUE,"Optimal";"OM Dollars per Hour",#N/A,TRUE,"Optimal";"OM Hours per Visit",#N/A,TRUE,"Optimal";"OM Dollars per Visit",#N/A,TRUE,"Optimal";"OM Total Visits",#N/A,TRUE,"Optimal";"OM PMPM",#N/A,TRUE,"Optimal"}</definedName>
    <definedName name="wrn.Adjusted._.Optimal." localSheetId="26" hidden="1">{"OM Visits",#N/A,TRUE,"Optimal";"OM Dollars per Hour",#N/A,TRUE,"Optimal";"OM Hours per Visit",#N/A,TRUE,"Optimal";"OM Dollars per Visit",#N/A,TRUE,"Optimal";"OM Total Visits",#N/A,TRUE,"Optimal";"OM PMPM",#N/A,TRUE,"Optimal"}</definedName>
    <definedName name="wrn.Adjusted._.Optimal." localSheetId="28" hidden="1">{"OM Visits",#N/A,TRUE,"Optimal";"OM Dollars per Hour",#N/A,TRUE,"Optimal";"OM Hours per Visit",#N/A,TRUE,"Optimal";"OM Dollars per Visit",#N/A,TRUE,"Optimal";"OM Total Visits",#N/A,TRUE,"Optimal";"OM PMPM",#N/A,TRUE,"Optimal"}</definedName>
    <definedName name="wrn.Adjusted._.Optimal." localSheetId="30" hidden="1">{"OM Visits",#N/A,TRUE,"Optimal";"OM Dollars per Hour",#N/A,TRUE,"Optimal";"OM Hours per Visit",#N/A,TRUE,"Optimal";"OM Dollars per Visit",#N/A,TRUE,"Optimal";"OM Total Visits",#N/A,TRUE,"Optimal";"OM PMPM",#N/A,TRUE,"Optimal"}</definedName>
    <definedName name="wrn.Adjusted._.Optimal." localSheetId="4" hidden="1">{"OM Visits",#N/A,TRUE,"Optimal";"OM Dollars per Hour",#N/A,TRUE,"Optimal";"OM Hours per Visit",#N/A,TRUE,"Optimal";"OM Dollars per Visit",#N/A,TRUE,"Optimal";"OM Total Visits",#N/A,TRUE,"Optimal";"OM PMPM",#N/A,TRUE,"Optimal"}</definedName>
    <definedName name="wrn.Adjusted._.Optimal." localSheetId="32" hidden="1">{"OM Visits",#N/A,TRUE,"Optimal";"OM Dollars per Hour",#N/A,TRUE,"Optimal";"OM Hours per Visit",#N/A,TRUE,"Optimal";"OM Dollars per Visit",#N/A,TRUE,"Optimal";"OM Total Visits",#N/A,TRUE,"Optimal";"OM PMPM",#N/A,TRUE,"Optimal"}</definedName>
    <definedName name="wrn.Adjusted._.Optimal." localSheetId="34" hidden="1">{"OM Visits",#N/A,TRUE,"Optimal";"OM Dollars per Hour",#N/A,TRUE,"Optimal";"OM Hours per Visit",#N/A,TRUE,"Optimal";"OM Dollars per Visit",#N/A,TRUE,"Optimal";"OM Total Visits",#N/A,TRUE,"Optimal";"OM PMPM",#N/A,TRUE,"Optimal"}</definedName>
    <definedName name="wrn.Adjusted._.Optimal." localSheetId="36" hidden="1">{"OM Visits",#N/A,TRUE,"Optimal";"OM Dollars per Hour",#N/A,TRUE,"Optimal";"OM Hours per Visit",#N/A,TRUE,"Optimal";"OM Dollars per Visit",#N/A,TRUE,"Optimal";"OM Total Visits",#N/A,TRUE,"Optimal";"OM PMPM",#N/A,TRUE,"Optimal"}</definedName>
    <definedName name="wrn.Adjusted._.Optimal." localSheetId="38" hidden="1">{"OM Visits",#N/A,TRUE,"Optimal";"OM Dollars per Hour",#N/A,TRUE,"Optimal";"OM Hours per Visit",#N/A,TRUE,"Optimal";"OM Dollars per Visit",#N/A,TRUE,"Optimal";"OM Total Visits",#N/A,TRUE,"Optimal";"OM PMPM",#N/A,TRUE,"Optimal"}</definedName>
    <definedName name="wrn.Adjusted._.Optimal." localSheetId="6" hidden="1">{"OM Visits",#N/A,TRUE,"Optimal";"OM Dollars per Hour",#N/A,TRUE,"Optimal";"OM Hours per Visit",#N/A,TRUE,"Optimal";"OM Dollars per Visit",#N/A,TRUE,"Optimal";"OM Total Visits",#N/A,TRUE,"Optimal";"OM PMPM",#N/A,TRUE,"Optimal"}</definedName>
    <definedName name="wrn.Adjusted._.Optimal." localSheetId="8" hidden="1">{"OM Visits",#N/A,TRUE,"Optimal";"OM Dollars per Hour",#N/A,TRUE,"Optimal";"OM Hours per Visit",#N/A,TRUE,"Optimal";"OM Dollars per Visit",#N/A,TRUE,"Optimal";"OM Total Visits",#N/A,TRUE,"Optimal";"OM PMPM",#N/A,TRUE,"Optimal"}</definedName>
    <definedName name="wrn.Adjusted._.Optimal." localSheetId="10" hidden="1">{"OM Visits",#N/A,TRUE,"Optimal";"OM Dollars per Hour",#N/A,TRUE,"Optimal";"OM Hours per Visit",#N/A,TRUE,"Optimal";"OM Dollars per Visit",#N/A,TRUE,"Optimal";"OM Total Visits",#N/A,TRUE,"Optimal";"OM PMPM",#N/A,TRUE,"Optimal"}</definedName>
    <definedName name="wrn.Adjusted._.Optimal." localSheetId="12" hidden="1">{"OM Visits",#N/A,TRUE,"Optimal";"OM Dollars per Hour",#N/A,TRUE,"Optimal";"OM Hours per Visit",#N/A,TRUE,"Optimal";"OM Dollars per Visit",#N/A,TRUE,"Optimal";"OM Total Visits",#N/A,TRUE,"Optimal";"OM PMPM",#N/A,TRUE,"Optimal"}</definedName>
    <definedName name="wrn.Adjusted._.Optimal." localSheetId="14" hidden="1">{"OM Visits",#N/A,TRUE,"Optimal";"OM Dollars per Hour",#N/A,TRUE,"Optimal";"OM Hours per Visit",#N/A,TRUE,"Optimal";"OM Dollars per Visit",#N/A,TRUE,"Optimal";"OM Total Visits",#N/A,TRUE,"Optimal";"OM PMPM",#N/A,TRUE,"Optimal"}</definedName>
    <definedName name="wrn.Adjusted._.Optimal." localSheetId="46" hidden="1">{"OM Visits",#N/A,TRUE,"Optimal";"OM Dollars per Hour",#N/A,TRUE,"Optimal";"OM Hours per Visit",#N/A,TRUE,"Optimal";"OM Dollars per Visit",#N/A,TRUE,"Optimal";"OM Total Visits",#N/A,TRUE,"Optimal";"OM PMPM",#N/A,TRUE,"Optimal"}</definedName>
    <definedName name="wrn.Adjusted._.Optimal." localSheetId="48" hidden="1">{"OM Visits",#N/A,TRUE,"Optimal";"OM Dollars per Hour",#N/A,TRUE,"Optimal";"OM Hours per Visit",#N/A,TRUE,"Optimal";"OM Dollars per Visit",#N/A,TRUE,"Optimal";"OM Total Visits",#N/A,TRUE,"Optimal";"OM PMPM",#N/A,TRUE,"Optimal"}</definedName>
    <definedName name="wrn.Adjusted._.Optimal." localSheetId="50" hidden="1">{"OM Visits",#N/A,TRUE,"Optimal";"OM Dollars per Hour",#N/A,TRUE,"Optimal";"OM Hours per Visit",#N/A,TRUE,"Optimal";"OM Dollars per Visit",#N/A,TRUE,"Optimal";"OM Total Visits",#N/A,TRUE,"Optimal";"OM PMPM",#N/A,TRUE,"Optimal"}</definedName>
    <definedName name="wrn.Adjusted._.Optimal." localSheetId="52" hidden="1">{"OM Visits",#N/A,TRUE,"Optimal";"OM Dollars per Hour",#N/A,TRUE,"Optimal";"OM Hours per Visit",#N/A,TRUE,"Optimal";"OM Dollars per Visit",#N/A,TRUE,"Optimal";"OM Total Visits",#N/A,TRUE,"Optimal";"OM PMPM",#N/A,TRUE,"Optimal"}</definedName>
    <definedName name="wrn.Adjusted._.Optimal." localSheetId="54" hidden="1">{"OM Visits",#N/A,TRUE,"Optimal";"OM Dollars per Hour",#N/A,TRUE,"Optimal";"OM Hours per Visit",#N/A,TRUE,"Optimal";"OM Dollars per Visit",#N/A,TRUE,"Optimal";"OM Total Visits",#N/A,TRUE,"Optimal";"OM PMPM",#N/A,TRUE,"Optimal"}</definedName>
    <definedName name="wrn.Adjusted._.Optimal." localSheetId="56" hidden="1">{"OM Visits",#N/A,TRUE,"Optimal";"OM Dollars per Hour",#N/A,TRUE,"Optimal";"OM Hours per Visit",#N/A,TRUE,"Optimal";"OM Dollars per Visit",#N/A,TRUE,"Optimal";"OM Total Visits",#N/A,TRUE,"Optimal";"OM PMPM",#N/A,TRUE,"Optimal"}</definedName>
    <definedName name="wrn.Adjusted._.Optimal." localSheetId="42" hidden="1">{"OM Visits",#N/A,TRUE,"Optimal";"OM Dollars per Hour",#N/A,TRUE,"Optimal";"OM Hours per Visit",#N/A,TRUE,"Optimal";"OM Dollars per Visit",#N/A,TRUE,"Optimal";"OM Total Visits",#N/A,TRUE,"Optimal";"OM PMPM",#N/A,TRUE,"Optimal"}</definedName>
    <definedName name="wrn.Adjusted._.Optimal." localSheetId="45" hidden="1">{"OM Visits",#N/A,TRUE,"Optimal";"OM Dollars per Hour",#N/A,TRUE,"Optimal";"OM Hours per Visit",#N/A,TRUE,"Optimal";"OM Dollars per Visit",#N/A,TRUE,"Optimal";"OM Total Visits",#N/A,TRUE,"Optimal";"OM PMPM",#N/A,TRUE,"Optimal"}</definedName>
    <definedName name="wrn.Adjusted._.Optimal." localSheetId="47" hidden="1">{"OM Visits",#N/A,TRUE,"Optimal";"OM Dollars per Hour",#N/A,TRUE,"Optimal";"OM Hours per Visit",#N/A,TRUE,"Optimal";"OM Dollars per Visit",#N/A,TRUE,"Optimal";"OM Total Visits",#N/A,TRUE,"Optimal";"OM PMPM",#N/A,TRUE,"Optimal"}</definedName>
    <definedName name="wrn.Adjusted._.Optimal." localSheetId="49" hidden="1">{"OM Visits",#N/A,TRUE,"Optimal";"OM Dollars per Hour",#N/A,TRUE,"Optimal";"OM Hours per Visit",#N/A,TRUE,"Optimal";"OM Dollars per Visit",#N/A,TRUE,"Optimal";"OM Total Visits",#N/A,TRUE,"Optimal";"OM PMPM",#N/A,TRUE,"Optimal"}</definedName>
    <definedName name="wrn.Adjusted._.Optimal." localSheetId="51" hidden="1">{"OM Visits",#N/A,TRUE,"Optimal";"OM Dollars per Hour",#N/A,TRUE,"Optimal";"OM Hours per Visit",#N/A,TRUE,"Optimal";"OM Dollars per Visit",#N/A,TRUE,"Optimal";"OM Total Visits",#N/A,TRUE,"Optimal";"OM PMPM",#N/A,TRUE,"Optimal"}</definedName>
    <definedName name="wrn.Adjusted._.Optimal." localSheetId="53" hidden="1">{"OM Visits",#N/A,TRUE,"Optimal";"OM Dollars per Hour",#N/A,TRUE,"Optimal";"OM Hours per Visit",#N/A,TRUE,"Optimal";"OM Dollars per Visit",#N/A,TRUE,"Optimal";"OM Total Visits",#N/A,TRUE,"Optimal";"OM PMPM",#N/A,TRUE,"Optimal"}</definedName>
    <definedName name="wrn.Adjusted._.Optimal." localSheetId="55" hidden="1">{"OM Visits",#N/A,TRUE,"Optimal";"OM Dollars per Hour",#N/A,TRUE,"Optimal";"OM Hours per Visit",#N/A,TRUE,"Optimal";"OM Dollars per Visit",#N/A,TRUE,"Optimal";"OM Total Visits",#N/A,TRUE,"Optimal";"OM PMPM",#N/A,TRUE,"Optimal"}</definedName>
    <definedName name="wrn.Adjusted._.Optimal." localSheetId="41" hidden="1">{"OM Visits",#N/A,TRUE,"Optimal";"OM Dollars per Hour",#N/A,TRUE,"Optimal";"OM Hours per Visit",#N/A,TRUE,"Optimal";"OM Dollars per Visit",#N/A,TRUE,"Optimal";"OM Total Visits",#N/A,TRUE,"Optimal";"OM PMPM",#N/A,TRUE,"Optimal"}</definedName>
    <definedName name="wrn.Adjusted._.Optimal." localSheetId="67" hidden="1">{"OM Visits",#N/A,TRUE,"Optimal";"OM Dollars per Hour",#N/A,TRUE,"Optimal";"OM Hours per Visit",#N/A,TRUE,"Optimal";"OM Dollars per Visit",#N/A,TRUE,"Optimal";"OM Total Visits",#N/A,TRUE,"Optimal";"OM PMPM",#N/A,TRUE,"Optimal"}</definedName>
    <definedName name="wrn.Adjusted._.Optimal." localSheetId="69" hidden="1">{"OM Visits",#N/A,TRUE,"Optimal";"OM Dollars per Hour",#N/A,TRUE,"Optimal";"OM Hours per Visit",#N/A,TRUE,"Optimal";"OM Dollars per Visit",#N/A,TRUE,"Optimal";"OM Total Visits",#N/A,TRUE,"Optimal";"OM PMPM",#N/A,TRUE,"Optimal"}</definedName>
    <definedName name="wrn.Adjusted._.Optimal." localSheetId="71" hidden="1">{"OM Visits",#N/A,TRUE,"Optimal";"OM Dollars per Hour",#N/A,TRUE,"Optimal";"OM Hours per Visit",#N/A,TRUE,"Optimal";"OM Dollars per Visit",#N/A,TRUE,"Optimal";"OM Total Visits",#N/A,TRUE,"Optimal";"OM PMPM",#N/A,TRUE,"Optimal"}</definedName>
    <definedName name="wrn.Adjusted._.Optimal." localSheetId="59" hidden="1">{"OM Visits",#N/A,TRUE,"Optimal";"OM Dollars per Hour",#N/A,TRUE,"Optimal";"OM Hours per Visit",#N/A,TRUE,"Optimal";"OM Dollars per Visit",#N/A,TRUE,"Optimal";"OM Total Visits",#N/A,TRUE,"Optimal";"OM PMPM",#N/A,TRUE,"Optimal"}</definedName>
    <definedName name="wrn.Adjusted._.Optimal." localSheetId="61" hidden="1">{"OM Visits",#N/A,TRUE,"Optimal";"OM Dollars per Hour",#N/A,TRUE,"Optimal";"OM Hours per Visit",#N/A,TRUE,"Optimal";"OM Dollars per Visit",#N/A,TRUE,"Optimal";"OM Total Visits",#N/A,TRUE,"Optimal";"OM PMPM",#N/A,TRUE,"Optimal"}</definedName>
    <definedName name="wrn.Adjusted._.Optimal." localSheetId="65" hidden="1">{"OM Visits",#N/A,TRUE,"Optimal";"OM Dollars per Hour",#N/A,TRUE,"Optimal";"OM Hours per Visit",#N/A,TRUE,"Optimal";"OM Dollars per Visit",#N/A,TRUE,"Optimal";"OM Total Visits",#N/A,TRUE,"Optimal";"OM PMPM",#N/A,TRUE,"Optimal"}</definedName>
    <definedName name="wrn.Adjusted._.Optimal." localSheetId="66" hidden="1">{"OM Visits",#N/A,TRUE,"Optimal";"OM Dollars per Hour",#N/A,TRUE,"Optimal";"OM Hours per Visit",#N/A,TRUE,"Optimal";"OM Dollars per Visit",#N/A,TRUE,"Optimal";"OM Total Visits",#N/A,TRUE,"Optimal";"OM PMPM",#N/A,TRUE,"Optimal"}</definedName>
    <definedName name="wrn.Adjusted._.Optimal." localSheetId="68" hidden="1">{"OM Visits",#N/A,TRUE,"Optimal";"OM Dollars per Hour",#N/A,TRUE,"Optimal";"OM Hours per Visit",#N/A,TRUE,"Optimal";"OM Dollars per Visit",#N/A,TRUE,"Optimal";"OM Total Visits",#N/A,TRUE,"Optimal";"OM PMPM",#N/A,TRUE,"Optimal"}</definedName>
    <definedName name="wrn.Adjusted._.Optimal." localSheetId="70" hidden="1">{"OM Visits",#N/A,TRUE,"Optimal";"OM Dollars per Hour",#N/A,TRUE,"Optimal";"OM Hours per Visit",#N/A,TRUE,"Optimal";"OM Dollars per Visit",#N/A,TRUE,"Optimal";"OM Total Visits",#N/A,TRUE,"Optimal";"OM PMPM",#N/A,TRUE,"Optimal"}</definedName>
    <definedName name="wrn.Adjusted._.Optimal." localSheetId="58" hidden="1">{"OM Visits",#N/A,TRUE,"Optimal";"OM Dollars per Hour",#N/A,TRUE,"Optimal";"OM Hours per Visit",#N/A,TRUE,"Optimal";"OM Dollars per Visit",#N/A,TRUE,"Optimal";"OM Total Visits",#N/A,TRUE,"Optimal";"OM PMPM",#N/A,TRUE,"Optimal"}</definedName>
    <definedName name="wrn.Adjusted._.Optimal." localSheetId="60" hidden="1">{"OM Visits",#N/A,TRUE,"Optimal";"OM Dollars per Hour",#N/A,TRUE,"Optimal";"OM Hours per Visit",#N/A,TRUE,"Optimal";"OM Dollars per Visit",#N/A,TRUE,"Optimal";"OM Total Visits",#N/A,TRUE,"Optimal";"OM PMPM",#N/A,TRUE,"Optimal"}</definedName>
    <definedName name="wrn.Adjusted._.Optimal." localSheetId="64" hidden="1">{"OM Visits",#N/A,TRUE,"Optimal";"OM Dollars per Hour",#N/A,TRUE,"Optimal";"OM Hours per Visit",#N/A,TRUE,"Optimal";"OM Dollars per Visit",#N/A,TRUE,"Optimal";"OM Total Visits",#N/A,TRUE,"Optimal";"OM PMPM",#N/A,TRUE,"Optimal"}</definedName>
    <definedName name="wrn.Adjusted._.Optimal." hidden="1">{"OM Visits",#N/A,TRUE,"Optimal";"OM Dollars per Hour",#N/A,TRUE,"Optimal";"OM Hours per Visit",#N/A,TRUE,"Optimal";"OM Dollars per Visit",#N/A,TRUE,"Optimal";"OM Total Visits",#N/A,TRUE,"Optimal";"OM PMPM",#N/A,TRUE,"Optimal"}</definedName>
    <definedName name="wrn.Adjusted._.Unmanaged." localSheetId="17" hidden="1">{"UM Visits",#N/A,FALSE,"Unmanaged";"UM Dollars per Hour",#N/A,FALSE,"Unmanaged";"UM Hours per Visit",#N/A,FALSE,"Unmanaged";"UM Dollars per Visit",#N/A,FALSE,"Unmanaged";"UM Total Visits",#N/A,FALSE,"Unmanaged";"UM PMPM",#N/A,FALSE,"Unmanaged"}</definedName>
    <definedName name="wrn.Adjusted._.Unmanaged." localSheetId="19" hidden="1">{"UM Visits",#N/A,FALSE,"Unmanaged";"UM Dollars per Hour",#N/A,FALSE,"Unmanaged";"UM Hours per Visit",#N/A,FALSE,"Unmanaged";"UM Dollars per Visit",#N/A,FALSE,"Unmanaged";"UM Total Visits",#N/A,FALSE,"Unmanaged";"UM PMPM",#N/A,FALSE,"Unmanaged"}</definedName>
    <definedName name="wrn.Adjusted._.Unmanaged." localSheetId="21" hidden="1">{"UM Visits",#N/A,FALSE,"Unmanaged";"UM Dollars per Hour",#N/A,FALSE,"Unmanaged";"UM Hours per Visit",#N/A,FALSE,"Unmanaged";"UM Dollars per Visit",#N/A,FALSE,"Unmanaged";"UM Total Visits",#N/A,FALSE,"Unmanaged";"UM PMPM",#N/A,FALSE,"Unmanaged"}</definedName>
    <definedName name="wrn.Adjusted._.Unmanaged." localSheetId="23" hidden="1">{"UM Visits",#N/A,FALSE,"Unmanaged";"UM Dollars per Hour",#N/A,FALSE,"Unmanaged";"UM Hours per Visit",#N/A,FALSE,"Unmanaged";"UM Dollars per Visit",#N/A,FALSE,"Unmanaged";"UM Total Visits",#N/A,FALSE,"Unmanaged";"UM PMPM",#N/A,FALSE,"Unmanaged"}</definedName>
    <definedName name="wrn.Adjusted._.Unmanaged." localSheetId="25" hidden="1">{"UM Visits",#N/A,FALSE,"Unmanaged";"UM Dollars per Hour",#N/A,FALSE,"Unmanaged";"UM Hours per Visit",#N/A,FALSE,"Unmanaged";"UM Dollars per Visit",#N/A,FALSE,"Unmanaged";"UM Total Visits",#N/A,FALSE,"Unmanaged";"UM PMPM",#N/A,FALSE,"Unmanaged"}</definedName>
    <definedName name="wrn.Adjusted._.Unmanaged." localSheetId="27" hidden="1">{"UM Visits",#N/A,FALSE,"Unmanaged";"UM Dollars per Hour",#N/A,FALSE,"Unmanaged";"UM Hours per Visit",#N/A,FALSE,"Unmanaged";"UM Dollars per Visit",#N/A,FALSE,"Unmanaged";"UM Total Visits",#N/A,FALSE,"Unmanaged";"UM PMPM",#N/A,FALSE,"Unmanaged"}</definedName>
    <definedName name="wrn.Adjusted._.Unmanaged." localSheetId="29" hidden="1">{"UM Visits",#N/A,FALSE,"Unmanaged";"UM Dollars per Hour",#N/A,FALSE,"Unmanaged";"UM Hours per Visit",#N/A,FALSE,"Unmanaged";"UM Dollars per Visit",#N/A,FALSE,"Unmanaged";"UM Total Visits",#N/A,FALSE,"Unmanaged";"UM PMPM",#N/A,FALSE,"Unmanaged"}</definedName>
    <definedName name="wrn.Adjusted._.Unmanaged." localSheetId="31" hidden="1">{"UM Visits",#N/A,FALSE,"Unmanaged";"UM Dollars per Hour",#N/A,FALSE,"Unmanaged";"UM Hours per Visit",#N/A,FALSE,"Unmanaged";"UM Dollars per Visit",#N/A,FALSE,"Unmanaged";"UM Total Visits",#N/A,FALSE,"Unmanaged";"UM PMPM",#N/A,FALSE,"Unmanaged"}</definedName>
    <definedName name="wrn.Adjusted._.Unmanaged." localSheetId="5" hidden="1">{"UM Visits",#N/A,FALSE,"Unmanaged";"UM Dollars per Hour",#N/A,FALSE,"Unmanaged";"UM Hours per Visit",#N/A,FALSE,"Unmanaged";"UM Dollars per Visit",#N/A,FALSE,"Unmanaged";"UM Total Visits",#N/A,FALSE,"Unmanaged";"UM PMPM",#N/A,FALSE,"Unmanaged"}</definedName>
    <definedName name="wrn.Adjusted._.Unmanaged." localSheetId="33" hidden="1">{"UM Visits",#N/A,FALSE,"Unmanaged";"UM Dollars per Hour",#N/A,FALSE,"Unmanaged";"UM Hours per Visit",#N/A,FALSE,"Unmanaged";"UM Dollars per Visit",#N/A,FALSE,"Unmanaged";"UM Total Visits",#N/A,FALSE,"Unmanaged";"UM PMPM",#N/A,FALSE,"Unmanaged"}</definedName>
    <definedName name="wrn.Adjusted._.Unmanaged." localSheetId="35" hidden="1">{"UM Visits",#N/A,FALSE,"Unmanaged";"UM Dollars per Hour",#N/A,FALSE,"Unmanaged";"UM Hours per Visit",#N/A,FALSE,"Unmanaged";"UM Dollars per Visit",#N/A,FALSE,"Unmanaged";"UM Total Visits",#N/A,FALSE,"Unmanaged";"UM PMPM",#N/A,FALSE,"Unmanaged"}</definedName>
    <definedName name="wrn.Adjusted._.Unmanaged." localSheetId="37" hidden="1">{"UM Visits",#N/A,FALSE,"Unmanaged";"UM Dollars per Hour",#N/A,FALSE,"Unmanaged";"UM Hours per Visit",#N/A,FALSE,"Unmanaged";"UM Dollars per Visit",#N/A,FALSE,"Unmanaged";"UM Total Visits",#N/A,FALSE,"Unmanaged";"UM PMPM",#N/A,FALSE,"Unmanaged"}</definedName>
    <definedName name="wrn.Adjusted._.Unmanaged." localSheetId="39" hidden="1">{"UM Visits",#N/A,FALSE,"Unmanaged";"UM Dollars per Hour",#N/A,FALSE,"Unmanaged";"UM Hours per Visit",#N/A,FALSE,"Unmanaged";"UM Dollars per Visit",#N/A,FALSE,"Unmanaged";"UM Total Visits",#N/A,FALSE,"Unmanaged";"UM PMPM",#N/A,FALSE,"Unmanaged"}</definedName>
    <definedName name="wrn.Adjusted._.Unmanaged." localSheetId="7" hidden="1">{"UM Visits",#N/A,FALSE,"Unmanaged";"UM Dollars per Hour",#N/A,FALSE,"Unmanaged";"UM Hours per Visit",#N/A,FALSE,"Unmanaged";"UM Dollars per Visit",#N/A,FALSE,"Unmanaged";"UM Total Visits",#N/A,FALSE,"Unmanaged";"UM PMPM",#N/A,FALSE,"Unmanaged"}</definedName>
    <definedName name="wrn.Adjusted._.Unmanaged." localSheetId="9" hidden="1">{"UM Visits",#N/A,FALSE,"Unmanaged";"UM Dollars per Hour",#N/A,FALSE,"Unmanaged";"UM Hours per Visit",#N/A,FALSE,"Unmanaged";"UM Dollars per Visit",#N/A,FALSE,"Unmanaged";"UM Total Visits",#N/A,FALSE,"Unmanaged";"UM PMPM",#N/A,FALSE,"Unmanaged"}</definedName>
    <definedName name="wrn.Adjusted._.Unmanaged." localSheetId="11" hidden="1">{"UM Visits",#N/A,FALSE,"Unmanaged";"UM Dollars per Hour",#N/A,FALSE,"Unmanaged";"UM Hours per Visit",#N/A,FALSE,"Unmanaged";"UM Dollars per Visit",#N/A,FALSE,"Unmanaged";"UM Total Visits",#N/A,FALSE,"Unmanaged";"UM PMPM",#N/A,FALSE,"Unmanaged"}</definedName>
    <definedName name="wrn.Adjusted._.Unmanaged." localSheetId="13" hidden="1">{"UM Visits",#N/A,FALSE,"Unmanaged";"UM Dollars per Hour",#N/A,FALSE,"Unmanaged";"UM Hours per Visit",#N/A,FALSE,"Unmanaged";"UM Dollars per Visit",#N/A,FALSE,"Unmanaged";"UM Total Visits",#N/A,FALSE,"Unmanaged";"UM PMPM",#N/A,FALSE,"Unmanaged"}</definedName>
    <definedName name="wrn.Adjusted._.Unmanaged." localSheetId="15" hidden="1">{"UM Visits",#N/A,FALSE,"Unmanaged";"UM Dollars per Hour",#N/A,FALSE,"Unmanaged";"UM Hours per Visit",#N/A,FALSE,"Unmanaged";"UM Dollars per Visit",#N/A,FALSE,"Unmanaged";"UM Total Visits",#N/A,FALSE,"Unmanaged";"UM PMPM",#N/A,FALSE,"Unmanaged"}</definedName>
    <definedName name="wrn.Adjusted._.Unmanaged." localSheetId="16" hidden="1">{"UM Visits",#N/A,FALSE,"Unmanaged";"UM Dollars per Hour",#N/A,FALSE,"Unmanaged";"UM Hours per Visit",#N/A,FALSE,"Unmanaged";"UM Dollars per Visit",#N/A,FALSE,"Unmanaged";"UM Total Visits",#N/A,FALSE,"Unmanaged";"UM PMPM",#N/A,FALSE,"Unmanaged"}</definedName>
    <definedName name="wrn.Adjusted._.Unmanaged." localSheetId="18" hidden="1">{"UM Visits",#N/A,FALSE,"Unmanaged";"UM Dollars per Hour",#N/A,FALSE,"Unmanaged";"UM Hours per Visit",#N/A,FALSE,"Unmanaged";"UM Dollars per Visit",#N/A,FALSE,"Unmanaged";"UM Total Visits",#N/A,FALSE,"Unmanaged";"UM PMPM",#N/A,FALSE,"Unmanaged"}</definedName>
    <definedName name="wrn.Adjusted._.Unmanaged." localSheetId="20" hidden="1">{"UM Visits",#N/A,FALSE,"Unmanaged";"UM Dollars per Hour",#N/A,FALSE,"Unmanaged";"UM Hours per Visit",#N/A,FALSE,"Unmanaged";"UM Dollars per Visit",#N/A,FALSE,"Unmanaged";"UM Total Visits",#N/A,FALSE,"Unmanaged";"UM PMPM",#N/A,FALSE,"Unmanaged"}</definedName>
    <definedName name="wrn.Adjusted._.Unmanaged." localSheetId="22" hidden="1">{"UM Visits",#N/A,FALSE,"Unmanaged";"UM Dollars per Hour",#N/A,FALSE,"Unmanaged";"UM Hours per Visit",#N/A,FALSE,"Unmanaged";"UM Dollars per Visit",#N/A,FALSE,"Unmanaged";"UM Total Visits",#N/A,FALSE,"Unmanaged";"UM PMPM",#N/A,FALSE,"Unmanaged"}</definedName>
    <definedName name="wrn.Adjusted._.Unmanaged." localSheetId="24" hidden="1">{"UM Visits",#N/A,FALSE,"Unmanaged";"UM Dollars per Hour",#N/A,FALSE,"Unmanaged";"UM Hours per Visit",#N/A,FALSE,"Unmanaged";"UM Dollars per Visit",#N/A,FALSE,"Unmanaged";"UM Total Visits",#N/A,FALSE,"Unmanaged";"UM PMPM",#N/A,FALSE,"Unmanaged"}</definedName>
    <definedName name="wrn.Adjusted._.Unmanaged." localSheetId="26" hidden="1">{"UM Visits",#N/A,FALSE,"Unmanaged";"UM Dollars per Hour",#N/A,FALSE,"Unmanaged";"UM Hours per Visit",#N/A,FALSE,"Unmanaged";"UM Dollars per Visit",#N/A,FALSE,"Unmanaged";"UM Total Visits",#N/A,FALSE,"Unmanaged";"UM PMPM",#N/A,FALSE,"Unmanaged"}</definedName>
    <definedName name="wrn.Adjusted._.Unmanaged." localSheetId="28" hidden="1">{"UM Visits",#N/A,FALSE,"Unmanaged";"UM Dollars per Hour",#N/A,FALSE,"Unmanaged";"UM Hours per Visit",#N/A,FALSE,"Unmanaged";"UM Dollars per Visit",#N/A,FALSE,"Unmanaged";"UM Total Visits",#N/A,FALSE,"Unmanaged";"UM PMPM",#N/A,FALSE,"Unmanaged"}</definedName>
    <definedName name="wrn.Adjusted._.Unmanaged." localSheetId="30" hidden="1">{"UM Visits",#N/A,FALSE,"Unmanaged";"UM Dollars per Hour",#N/A,FALSE,"Unmanaged";"UM Hours per Visit",#N/A,FALSE,"Unmanaged";"UM Dollars per Visit",#N/A,FALSE,"Unmanaged";"UM Total Visits",#N/A,FALSE,"Unmanaged";"UM PMPM",#N/A,FALSE,"Unmanaged"}</definedName>
    <definedName name="wrn.Adjusted._.Unmanaged." localSheetId="4" hidden="1">{"UM Visits",#N/A,FALSE,"Unmanaged";"UM Dollars per Hour",#N/A,FALSE,"Unmanaged";"UM Hours per Visit",#N/A,FALSE,"Unmanaged";"UM Dollars per Visit",#N/A,FALSE,"Unmanaged";"UM Total Visits",#N/A,FALSE,"Unmanaged";"UM PMPM",#N/A,FALSE,"Unmanaged"}</definedName>
    <definedName name="wrn.Adjusted._.Unmanaged." localSheetId="32" hidden="1">{"UM Visits",#N/A,FALSE,"Unmanaged";"UM Dollars per Hour",#N/A,FALSE,"Unmanaged";"UM Hours per Visit",#N/A,FALSE,"Unmanaged";"UM Dollars per Visit",#N/A,FALSE,"Unmanaged";"UM Total Visits",#N/A,FALSE,"Unmanaged";"UM PMPM",#N/A,FALSE,"Unmanaged"}</definedName>
    <definedName name="wrn.Adjusted._.Unmanaged." localSheetId="34" hidden="1">{"UM Visits",#N/A,FALSE,"Unmanaged";"UM Dollars per Hour",#N/A,FALSE,"Unmanaged";"UM Hours per Visit",#N/A,FALSE,"Unmanaged";"UM Dollars per Visit",#N/A,FALSE,"Unmanaged";"UM Total Visits",#N/A,FALSE,"Unmanaged";"UM PMPM",#N/A,FALSE,"Unmanaged"}</definedName>
    <definedName name="wrn.Adjusted._.Unmanaged." localSheetId="36" hidden="1">{"UM Visits",#N/A,FALSE,"Unmanaged";"UM Dollars per Hour",#N/A,FALSE,"Unmanaged";"UM Hours per Visit",#N/A,FALSE,"Unmanaged";"UM Dollars per Visit",#N/A,FALSE,"Unmanaged";"UM Total Visits",#N/A,FALSE,"Unmanaged";"UM PMPM",#N/A,FALSE,"Unmanaged"}</definedName>
    <definedName name="wrn.Adjusted._.Unmanaged." localSheetId="38" hidden="1">{"UM Visits",#N/A,FALSE,"Unmanaged";"UM Dollars per Hour",#N/A,FALSE,"Unmanaged";"UM Hours per Visit",#N/A,FALSE,"Unmanaged";"UM Dollars per Visit",#N/A,FALSE,"Unmanaged";"UM Total Visits",#N/A,FALSE,"Unmanaged";"UM PMPM",#N/A,FALSE,"Unmanaged"}</definedName>
    <definedName name="wrn.Adjusted._.Unmanaged." localSheetId="6" hidden="1">{"UM Visits",#N/A,FALSE,"Unmanaged";"UM Dollars per Hour",#N/A,FALSE,"Unmanaged";"UM Hours per Visit",#N/A,FALSE,"Unmanaged";"UM Dollars per Visit",#N/A,FALSE,"Unmanaged";"UM Total Visits",#N/A,FALSE,"Unmanaged";"UM PMPM",#N/A,FALSE,"Unmanaged"}</definedName>
    <definedName name="wrn.Adjusted._.Unmanaged." localSheetId="8" hidden="1">{"UM Visits",#N/A,FALSE,"Unmanaged";"UM Dollars per Hour",#N/A,FALSE,"Unmanaged";"UM Hours per Visit",#N/A,FALSE,"Unmanaged";"UM Dollars per Visit",#N/A,FALSE,"Unmanaged";"UM Total Visits",#N/A,FALSE,"Unmanaged";"UM PMPM",#N/A,FALSE,"Unmanaged"}</definedName>
    <definedName name="wrn.Adjusted._.Unmanaged." localSheetId="10" hidden="1">{"UM Visits",#N/A,FALSE,"Unmanaged";"UM Dollars per Hour",#N/A,FALSE,"Unmanaged";"UM Hours per Visit",#N/A,FALSE,"Unmanaged";"UM Dollars per Visit",#N/A,FALSE,"Unmanaged";"UM Total Visits",#N/A,FALSE,"Unmanaged";"UM PMPM",#N/A,FALSE,"Unmanaged"}</definedName>
    <definedName name="wrn.Adjusted._.Unmanaged." localSheetId="12" hidden="1">{"UM Visits",#N/A,FALSE,"Unmanaged";"UM Dollars per Hour",#N/A,FALSE,"Unmanaged";"UM Hours per Visit",#N/A,FALSE,"Unmanaged";"UM Dollars per Visit",#N/A,FALSE,"Unmanaged";"UM Total Visits",#N/A,FALSE,"Unmanaged";"UM PMPM",#N/A,FALSE,"Unmanaged"}</definedName>
    <definedName name="wrn.Adjusted._.Unmanaged." localSheetId="14" hidden="1">{"UM Visits",#N/A,FALSE,"Unmanaged";"UM Dollars per Hour",#N/A,FALSE,"Unmanaged";"UM Hours per Visit",#N/A,FALSE,"Unmanaged";"UM Dollars per Visit",#N/A,FALSE,"Unmanaged";"UM Total Visits",#N/A,FALSE,"Unmanaged";"UM PMPM",#N/A,FALSE,"Unmanaged"}</definedName>
    <definedName name="wrn.Adjusted._.Unmanaged." localSheetId="46" hidden="1">{"UM Visits",#N/A,FALSE,"Unmanaged";"UM Dollars per Hour",#N/A,FALSE,"Unmanaged";"UM Hours per Visit",#N/A,FALSE,"Unmanaged";"UM Dollars per Visit",#N/A,FALSE,"Unmanaged";"UM Total Visits",#N/A,FALSE,"Unmanaged";"UM PMPM",#N/A,FALSE,"Unmanaged"}</definedName>
    <definedName name="wrn.Adjusted._.Unmanaged." localSheetId="48" hidden="1">{"UM Visits",#N/A,FALSE,"Unmanaged";"UM Dollars per Hour",#N/A,FALSE,"Unmanaged";"UM Hours per Visit",#N/A,FALSE,"Unmanaged";"UM Dollars per Visit",#N/A,FALSE,"Unmanaged";"UM Total Visits",#N/A,FALSE,"Unmanaged";"UM PMPM",#N/A,FALSE,"Unmanaged"}</definedName>
    <definedName name="wrn.Adjusted._.Unmanaged." localSheetId="50" hidden="1">{"UM Visits",#N/A,FALSE,"Unmanaged";"UM Dollars per Hour",#N/A,FALSE,"Unmanaged";"UM Hours per Visit",#N/A,FALSE,"Unmanaged";"UM Dollars per Visit",#N/A,FALSE,"Unmanaged";"UM Total Visits",#N/A,FALSE,"Unmanaged";"UM PMPM",#N/A,FALSE,"Unmanaged"}</definedName>
    <definedName name="wrn.Adjusted._.Unmanaged." localSheetId="52" hidden="1">{"UM Visits",#N/A,FALSE,"Unmanaged";"UM Dollars per Hour",#N/A,FALSE,"Unmanaged";"UM Hours per Visit",#N/A,FALSE,"Unmanaged";"UM Dollars per Visit",#N/A,FALSE,"Unmanaged";"UM Total Visits",#N/A,FALSE,"Unmanaged";"UM PMPM",#N/A,FALSE,"Unmanaged"}</definedName>
    <definedName name="wrn.Adjusted._.Unmanaged." localSheetId="54" hidden="1">{"UM Visits",#N/A,FALSE,"Unmanaged";"UM Dollars per Hour",#N/A,FALSE,"Unmanaged";"UM Hours per Visit",#N/A,FALSE,"Unmanaged";"UM Dollars per Visit",#N/A,FALSE,"Unmanaged";"UM Total Visits",#N/A,FALSE,"Unmanaged";"UM PMPM",#N/A,FALSE,"Unmanaged"}</definedName>
    <definedName name="wrn.Adjusted._.Unmanaged." localSheetId="56" hidden="1">{"UM Visits",#N/A,FALSE,"Unmanaged";"UM Dollars per Hour",#N/A,FALSE,"Unmanaged";"UM Hours per Visit",#N/A,FALSE,"Unmanaged";"UM Dollars per Visit",#N/A,FALSE,"Unmanaged";"UM Total Visits",#N/A,FALSE,"Unmanaged";"UM PMPM",#N/A,FALSE,"Unmanaged"}</definedName>
    <definedName name="wrn.Adjusted._.Unmanaged." localSheetId="42" hidden="1">{"UM Visits",#N/A,FALSE,"Unmanaged";"UM Dollars per Hour",#N/A,FALSE,"Unmanaged";"UM Hours per Visit",#N/A,FALSE,"Unmanaged";"UM Dollars per Visit",#N/A,FALSE,"Unmanaged";"UM Total Visits",#N/A,FALSE,"Unmanaged";"UM PMPM",#N/A,FALSE,"Unmanaged"}</definedName>
    <definedName name="wrn.Adjusted._.Unmanaged." localSheetId="45" hidden="1">{"UM Visits",#N/A,FALSE,"Unmanaged";"UM Dollars per Hour",#N/A,FALSE,"Unmanaged";"UM Hours per Visit",#N/A,FALSE,"Unmanaged";"UM Dollars per Visit",#N/A,FALSE,"Unmanaged";"UM Total Visits",#N/A,FALSE,"Unmanaged";"UM PMPM",#N/A,FALSE,"Unmanaged"}</definedName>
    <definedName name="wrn.Adjusted._.Unmanaged." localSheetId="47" hidden="1">{"UM Visits",#N/A,FALSE,"Unmanaged";"UM Dollars per Hour",#N/A,FALSE,"Unmanaged";"UM Hours per Visit",#N/A,FALSE,"Unmanaged";"UM Dollars per Visit",#N/A,FALSE,"Unmanaged";"UM Total Visits",#N/A,FALSE,"Unmanaged";"UM PMPM",#N/A,FALSE,"Unmanaged"}</definedName>
    <definedName name="wrn.Adjusted._.Unmanaged." localSheetId="49" hidden="1">{"UM Visits",#N/A,FALSE,"Unmanaged";"UM Dollars per Hour",#N/A,FALSE,"Unmanaged";"UM Hours per Visit",#N/A,FALSE,"Unmanaged";"UM Dollars per Visit",#N/A,FALSE,"Unmanaged";"UM Total Visits",#N/A,FALSE,"Unmanaged";"UM PMPM",#N/A,FALSE,"Unmanaged"}</definedName>
    <definedName name="wrn.Adjusted._.Unmanaged." localSheetId="51" hidden="1">{"UM Visits",#N/A,FALSE,"Unmanaged";"UM Dollars per Hour",#N/A,FALSE,"Unmanaged";"UM Hours per Visit",#N/A,FALSE,"Unmanaged";"UM Dollars per Visit",#N/A,FALSE,"Unmanaged";"UM Total Visits",#N/A,FALSE,"Unmanaged";"UM PMPM",#N/A,FALSE,"Unmanaged"}</definedName>
    <definedName name="wrn.Adjusted._.Unmanaged." localSheetId="53" hidden="1">{"UM Visits",#N/A,FALSE,"Unmanaged";"UM Dollars per Hour",#N/A,FALSE,"Unmanaged";"UM Hours per Visit",#N/A,FALSE,"Unmanaged";"UM Dollars per Visit",#N/A,FALSE,"Unmanaged";"UM Total Visits",#N/A,FALSE,"Unmanaged";"UM PMPM",#N/A,FALSE,"Unmanaged"}</definedName>
    <definedName name="wrn.Adjusted._.Unmanaged." localSheetId="55" hidden="1">{"UM Visits",#N/A,FALSE,"Unmanaged";"UM Dollars per Hour",#N/A,FALSE,"Unmanaged";"UM Hours per Visit",#N/A,FALSE,"Unmanaged";"UM Dollars per Visit",#N/A,FALSE,"Unmanaged";"UM Total Visits",#N/A,FALSE,"Unmanaged";"UM PMPM",#N/A,FALSE,"Unmanaged"}</definedName>
    <definedName name="wrn.Adjusted._.Unmanaged." localSheetId="41" hidden="1">{"UM Visits",#N/A,FALSE,"Unmanaged";"UM Dollars per Hour",#N/A,FALSE,"Unmanaged";"UM Hours per Visit",#N/A,FALSE,"Unmanaged";"UM Dollars per Visit",#N/A,FALSE,"Unmanaged";"UM Total Visits",#N/A,FALSE,"Unmanaged";"UM PMPM",#N/A,FALSE,"Unmanaged"}</definedName>
    <definedName name="wrn.Adjusted._.Unmanaged." localSheetId="67" hidden="1">{"UM Visits",#N/A,FALSE,"Unmanaged";"UM Dollars per Hour",#N/A,FALSE,"Unmanaged";"UM Hours per Visit",#N/A,FALSE,"Unmanaged";"UM Dollars per Visit",#N/A,FALSE,"Unmanaged";"UM Total Visits",#N/A,FALSE,"Unmanaged";"UM PMPM",#N/A,FALSE,"Unmanaged"}</definedName>
    <definedName name="wrn.Adjusted._.Unmanaged." localSheetId="69" hidden="1">{"UM Visits",#N/A,FALSE,"Unmanaged";"UM Dollars per Hour",#N/A,FALSE,"Unmanaged";"UM Hours per Visit",#N/A,FALSE,"Unmanaged";"UM Dollars per Visit",#N/A,FALSE,"Unmanaged";"UM Total Visits",#N/A,FALSE,"Unmanaged";"UM PMPM",#N/A,FALSE,"Unmanaged"}</definedName>
    <definedName name="wrn.Adjusted._.Unmanaged." localSheetId="71" hidden="1">{"UM Visits",#N/A,FALSE,"Unmanaged";"UM Dollars per Hour",#N/A,FALSE,"Unmanaged";"UM Hours per Visit",#N/A,FALSE,"Unmanaged";"UM Dollars per Visit",#N/A,FALSE,"Unmanaged";"UM Total Visits",#N/A,FALSE,"Unmanaged";"UM PMPM",#N/A,FALSE,"Unmanaged"}</definedName>
    <definedName name="wrn.Adjusted._.Unmanaged." localSheetId="59" hidden="1">{"UM Visits",#N/A,FALSE,"Unmanaged";"UM Dollars per Hour",#N/A,FALSE,"Unmanaged";"UM Hours per Visit",#N/A,FALSE,"Unmanaged";"UM Dollars per Visit",#N/A,FALSE,"Unmanaged";"UM Total Visits",#N/A,FALSE,"Unmanaged";"UM PMPM",#N/A,FALSE,"Unmanaged"}</definedName>
    <definedName name="wrn.Adjusted._.Unmanaged." localSheetId="61" hidden="1">{"UM Visits",#N/A,FALSE,"Unmanaged";"UM Dollars per Hour",#N/A,FALSE,"Unmanaged";"UM Hours per Visit",#N/A,FALSE,"Unmanaged";"UM Dollars per Visit",#N/A,FALSE,"Unmanaged";"UM Total Visits",#N/A,FALSE,"Unmanaged";"UM PMPM",#N/A,FALSE,"Unmanaged"}</definedName>
    <definedName name="wrn.Adjusted._.Unmanaged." localSheetId="65" hidden="1">{"UM Visits",#N/A,FALSE,"Unmanaged";"UM Dollars per Hour",#N/A,FALSE,"Unmanaged";"UM Hours per Visit",#N/A,FALSE,"Unmanaged";"UM Dollars per Visit",#N/A,FALSE,"Unmanaged";"UM Total Visits",#N/A,FALSE,"Unmanaged";"UM PMPM",#N/A,FALSE,"Unmanaged"}</definedName>
    <definedName name="wrn.Adjusted._.Unmanaged." localSheetId="66" hidden="1">{"UM Visits",#N/A,FALSE,"Unmanaged";"UM Dollars per Hour",#N/A,FALSE,"Unmanaged";"UM Hours per Visit",#N/A,FALSE,"Unmanaged";"UM Dollars per Visit",#N/A,FALSE,"Unmanaged";"UM Total Visits",#N/A,FALSE,"Unmanaged";"UM PMPM",#N/A,FALSE,"Unmanaged"}</definedName>
    <definedName name="wrn.Adjusted._.Unmanaged." localSheetId="68" hidden="1">{"UM Visits",#N/A,FALSE,"Unmanaged";"UM Dollars per Hour",#N/A,FALSE,"Unmanaged";"UM Hours per Visit",#N/A,FALSE,"Unmanaged";"UM Dollars per Visit",#N/A,FALSE,"Unmanaged";"UM Total Visits",#N/A,FALSE,"Unmanaged";"UM PMPM",#N/A,FALSE,"Unmanaged"}</definedName>
    <definedName name="wrn.Adjusted._.Unmanaged." localSheetId="70" hidden="1">{"UM Visits",#N/A,FALSE,"Unmanaged";"UM Dollars per Hour",#N/A,FALSE,"Unmanaged";"UM Hours per Visit",#N/A,FALSE,"Unmanaged";"UM Dollars per Visit",#N/A,FALSE,"Unmanaged";"UM Total Visits",#N/A,FALSE,"Unmanaged";"UM PMPM",#N/A,FALSE,"Unmanaged"}</definedName>
    <definedName name="wrn.Adjusted._.Unmanaged." localSheetId="58" hidden="1">{"UM Visits",#N/A,FALSE,"Unmanaged";"UM Dollars per Hour",#N/A,FALSE,"Unmanaged";"UM Hours per Visit",#N/A,FALSE,"Unmanaged";"UM Dollars per Visit",#N/A,FALSE,"Unmanaged";"UM Total Visits",#N/A,FALSE,"Unmanaged";"UM PMPM",#N/A,FALSE,"Unmanaged"}</definedName>
    <definedName name="wrn.Adjusted._.Unmanaged." localSheetId="60" hidden="1">{"UM Visits",#N/A,FALSE,"Unmanaged";"UM Dollars per Hour",#N/A,FALSE,"Unmanaged";"UM Hours per Visit",#N/A,FALSE,"Unmanaged";"UM Dollars per Visit",#N/A,FALSE,"Unmanaged";"UM Total Visits",#N/A,FALSE,"Unmanaged";"UM PMPM",#N/A,FALSE,"Unmanaged"}</definedName>
    <definedName name="wrn.Adjusted._.Unmanaged." localSheetId="64" hidden="1">{"UM Visits",#N/A,FALSE,"Unmanaged";"UM Dollars per Hour",#N/A,FALSE,"Unmanaged";"UM Hours per Visit",#N/A,FALSE,"Unmanaged";"UM Dollars per Visit",#N/A,FALSE,"Unmanaged";"UM Total Visits",#N/A,FALSE,"Unmanaged";"UM PMPM",#N/A,FALSE,"Unmanaged"}</definedName>
    <definedName name="wrn.Adjusted._.Unmanaged." hidden="1">{"UM Visits",#N/A,FALSE,"Unmanaged";"UM Dollars per Hour",#N/A,FALSE,"Unmanaged";"UM Hours per Visit",#N/A,FALSE,"Unmanaged";"UM Dollars per Visit",#N/A,FALSE,"Unmanaged";"UM Total Visits",#N/A,FALSE,"Unmanaged";"UM PMPM",#N/A,FALSE,"Unmanaged"}</definedName>
    <definedName name="wrn.Detail." localSheetId="17" hidden="1">{"umarea",#N/A,FALSE,"Starting Cost";"umagesex",#N/A,FALSE,"Starting Cost";"umbenlim",#N/A,FALSE,"Starting Cost";"umprovdisc",#N/A,FALSE,"Starting Cost";"umother",#N/A,FALSE,"Starting Cost";"umtrend",#N/A,FALSE,"Starting Cost"}</definedName>
    <definedName name="wrn.Detail." localSheetId="19" hidden="1">{"umarea",#N/A,FALSE,"Starting Cost";"umagesex",#N/A,FALSE,"Starting Cost";"umbenlim",#N/A,FALSE,"Starting Cost";"umprovdisc",#N/A,FALSE,"Starting Cost";"umother",#N/A,FALSE,"Starting Cost";"umtrend",#N/A,FALSE,"Starting Cost"}</definedName>
    <definedName name="wrn.Detail." localSheetId="21" hidden="1">{"umarea",#N/A,FALSE,"Starting Cost";"umagesex",#N/A,FALSE,"Starting Cost";"umbenlim",#N/A,FALSE,"Starting Cost";"umprovdisc",#N/A,FALSE,"Starting Cost";"umother",#N/A,FALSE,"Starting Cost";"umtrend",#N/A,FALSE,"Starting Cost"}</definedName>
    <definedName name="wrn.Detail." localSheetId="23" hidden="1">{"umarea",#N/A,FALSE,"Starting Cost";"umagesex",#N/A,FALSE,"Starting Cost";"umbenlim",#N/A,FALSE,"Starting Cost";"umprovdisc",#N/A,FALSE,"Starting Cost";"umother",#N/A,FALSE,"Starting Cost";"umtrend",#N/A,FALSE,"Starting Cost"}</definedName>
    <definedName name="wrn.Detail." localSheetId="25" hidden="1">{"umarea",#N/A,FALSE,"Starting Cost";"umagesex",#N/A,FALSE,"Starting Cost";"umbenlim",#N/A,FALSE,"Starting Cost";"umprovdisc",#N/A,FALSE,"Starting Cost";"umother",#N/A,FALSE,"Starting Cost";"umtrend",#N/A,FALSE,"Starting Cost"}</definedName>
    <definedName name="wrn.Detail." localSheetId="27" hidden="1">{"umarea",#N/A,FALSE,"Starting Cost";"umagesex",#N/A,FALSE,"Starting Cost";"umbenlim",#N/A,FALSE,"Starting Cost";"umprovdisc",#N/A,FALSE,"Starting Cost";"umother",#N/A,FALSE,"Starting Cost";"umtrend",#N/A,FALSE,"Starting Cost"}</definedName>
    <definedName name="wrn.Detail." localSheetId="29" hidden="1">{"umarea",#N/A,FALSE,"Starting Cost";"umagesex",#N/A,FALSE,"Starting Cost";"umbenlim",#N/A,FALSE,"Starting Cost";"umprovdisc",#N/A,FALSE,"Starting Cost";"umother",#N/A,FALSE,"Starting Cost";"umtrend",#N/A,FALSE,"Starting Cost"}</definedName>
    <definedName name="wrn.Detail." localSheetId="31" hidden="1">{"umarea",#N/A,FALSE,"Starting Cost";"umagesex",#N/A,FALSE,"Starting Cost";"umbenlim",#N/A,FALSE,"Starting Cost";"umprovdisc",#N/A,FALSE,"Starting Cost";"umother",#N/A,FALSE,"Starting Cost";"umtrend",#N/A,FALSE,"Starting Cost"}</definedName>
    <definedName name="wrn.Detail." localSheetId="5" hidden="1">{"umarea",#N/A,FALSE,"Starting Cost";"umagesex",#N/A,FALSE,"Starting Cost";"umbenlim",#N/A,FALSE,"Starting Cost";"umprovdisc",#N/A,FALSE,"Starting Cost";"umother",#N/A,FALSE,"Starting Cost";"umtrend",#N/A,FALSE,"Starting Cost"}</definedName>
    <definedName name="wrn.Detail." localSheetId="33" hidden="1">{"umarea",#N/A,FALSE,"Starting Cost";"umagesex",#N/A,FALSE,"Starting Cost";"umbenlim",#N/A,FALSE,"Starting Cost";"umprovdisc",#N/A,FALSE,"Starting Cost";"umother",#N/A,FALSE,"Starting Cost";"umtrend",#N/A,FALSE,"Starting Cost"}</definedName>
    <definedName name="wrn.Detail." localSheetId="35" hidden="1">{"umarea",#N/A,FALSE,"Starting Cost";"umagesex",#N/A,FALSE,"Starting Cost";"umbenlim",#N/A,FALSE,"Starting Cost";"umprovdisc",#N/A,FALSE,"Starting Cost";"umother",#N/A,FALSE,"Starting Cost";"umtrend",#N/A,FALSE,"Starting Cost"}</definedName>
    <definedName name="wrn.Detail." localSheetId="37" hidden="1">{"umarea",#N/A,FALSE,"Starting Cost";"umagesex",#N/A,FALSE,"Starting Cost";"umbenlim",#N/A,FALSE,"Starting Cost";"umprovdisc",#N/A,FALSE,"Starting Cost";"umother",#N/A,FALSE,"Starting Cost";"umtrend",#N/A,FALSE,"Starting Cost"}</definedName>
    <definedName name="wrn.Detail." localSheetId="39" hidden="1">{"umarea",#N/A,FALSE,"Starting Cost";"umagesex",#N/A,FALSE,"Starting Cost";"umbenlim",#N/A,FALSE,"Starting Cost";"umprovdisc",#N/A,FALSE,"Starting Cost";"umother",#N/A,FALSE,"Starting Cost";"umtrend",#N/A,FALSE,"Starting Cost"}</definedName>
    <definedName name="wrn.Detail." localSheetId="7" hidden="1">{"umarea",#N/A,FALSE,"Starting Cost";"umagesex",#N/A,FALSE,"Starting Cost";"umbenlim",#N/A,FALSE,"Starting Cost";"umprovdisc",#N/A,FALSE,"Starting Cost";"umother",#N/A,FALSE,"Starting Cost";"umtrend",#N/A,FALSE,"Starting Cost"}</definedName>
    <definedName name="wrn.Detail." localSheetId="9" hidden="1">{"umarea",#N/A,FALSE,"Starting Cost";"umagesex",#N/A,FALSE,"Starting Cost";"umbenlim",#N/A,FALSE,"Starting Cost";"umprovdisc",#N/A,FALSE,"Starting Cost";"umother",#N/A,FALSE,"Starting Cost";"umtrend",#N/A,FALSE,"Starting Cost"}</definedName>
    <definedName name="wrn.Detail." localSheetId="11" hidden="1">{"umarea",#N/A,FALSE,"Starting Cost";"umagesex",#N/A,FALSE,"Starting Cost";"umbenlim",#N/A,FALSE,"Starting Cost";"umprovdisc",#N/A,FALSE,"Starting Cost";"umother",#N/A,FALSE,"Starting Cost";"umtrend",#N/A,FALSE,"Starting Cost"}</definedName>
    <definedName name="wrn.Detail." localSheetId="13" hidden="1">{"umarea",#N/A,FALSE,"Starting Cost";"umagesex",#N/A,FALSE,"Starting Cost";"umbenlim",#N/A,FALSE,"Starting Cost";"umprovdisc",#N/A,FALSE,"Starting Cost";"umother",#N/A,FALSE,"Starting Cost";"umtrend",#N/A,FALSE,"Starting Cost"}</definedName>
    <definedName name="wrn.Detail." localSheetId="15" hidden="1">{"umarea",#N/A,FALSE,"Starting Cost";"umagesex",#N/A,FALSE,"Starting Cost";"umbenlim",#N/A,FALSE,"Starting Cost";"umprovdisc",#N/A,FALSE,"Starting Cost";"umother",#N/A,FALSE,"Starting Cost";"umtrend",#N/A,FALSE,"Starting Cost"}</definedName>
    <definedName name="wrn.Detail." localSheetId="16" hidden="1">{"umarea",#N/A,FALSE,"Starting Cost";"umagesex",#N/A,FALSE,"Starting Cost";"umbenlim",#N/A,FALSE,"Starting Cost";"umprovdisc",#N/A,FALSE,"Starting Cost";"umother",#N/A,FALSE,"Starting Cost";"umtrend",#N/A,FALSE,"Starting Cost"}</definedName>
    <definedName name="wrn.Detail." localSheetId="18" hidden="1">{"umarea",#N/A,FALSE,"Starting Cost";"umagesex",#N/A,FALSE,"Starting Cost";"umbenlim",#N/A,FALSE,"Starting Cost";"umprovdisc",#N/A,FALSE,"Starting Cost";"umother",#N/A,FALSE,"Starting Cost";"umtrend",#N/A,FALSE,"Starting Cost"}</definedName>
    <definedName name="wrn.Detail." localSheetId="20" hidden="1">{"umarea",#N/A,FALSE,"Starting Cost";"umagesex",#N/A,FALSE,"Starting Cost";"umbenlim",#N/A,FALSE,"Starting Cost";"umprovdisc",#N/A,FALSE,"Starting Cost";"umother",#N/A,FALSE,"Starting Cost";"umtrend",#N/A,FALSE,"Starting Cost"}</definedName>
    <definedName name="wrn.Detail." localSheetId="22" hidden="1">{"umarea",#N/A,FALSE,"Starting Cost";"umagesex",#N/A,FALSE,"Starting Cost";"umbenlim",#N/A,FALSE,"Starting Cost";"umprovdisc",#N/A,FALSE,"Starting Cost";"umother",#N/A,FALSE,"Starting Cost";"umtrend",#N/A,FALSE,"Starting Cost"}</definedName>
    <definedName name="wrn.Detail." localSheetId="24" hidden="1">{"umarea",#N/A,FALSE,"Starting Cost";"umagesex",#N/A,FALSE,"Starting Cost";"umbenlim",#N/A,FALSE,"Starting Cost";"umprovdisc",#N/A,FALSE,"Starting Cost";"umother",#N/A,FALSE,"Starting Cost";"umtrend",#N/A,FALSE,"Starting Cost"}</definedName>
    <definedName name="wrn.Detail." localSheetId="26" hidden="1">{"umarea",#N/A,FALSE,"Starting Cost";"umagesex",#N/A,FALSE,"Starting Cost";"umbenlim",#N/A,FALSE,"Starting Cost";"umprovdisc",#N/A,FALSE,"Starting Cost";"umother",#N/A,FALSE,"Starting Cost";"umtrend",#N/A,FALSE,"Starting Cost"}</definedName>
    <definedName name="wrn.Detail." localSheetId="28" hidden="1">{"umarea",#N/A,FALSE,"Starting Cost";"umagesex",#N/A,FALSE,"Starting Cost";"umbenlim",#N/A,FALSE,"Starting Cost";"umprovdisc",#N/A,FALSE,"Starting Cost";"umother",#N/A,FALSE,"Starting Cost";"umtrend",#N/A,FALSE,"Starting Cost"}</definedName>
    <definedName name="wrn.Detail." localSheetId="30" hidden="1">{"umarea",#N/A,FALSE,"Starting Cost";"umagesex",#N/A,FALSE,"Starting Cost";"umbenlim",#N/A,FALSE,"Starting Cost";"umprovdisc",#N/A,FALSE,"Starting Cost";"umother",#N/A,FALSE,"Starting Cost";"umtrend",#N/A,FALSE,"Starting Cost"}</definedName>
    <definedName name="wrn.Detail." localSheetId="4" hidden="1">{"umarea",#N/A,FALSE,"Starting Cost";"umagesex",#N/A,FALSE,"Starting Cost";"umbenlim",#N/A,FALSE,"Starting Cost";"umprovdisc",#N/A,FALSE,"Starting Cost";"umother",#N/A,FALSE,"Starting Cost";"umtrend",#N/A,FALSE,"Starting Cost"}</definedName>
    <definedName name="wrn.Detail." localSheetId="32" hidden="1">{"umarea",#N/A,FALSE,"Starting Cost";"umagesex",#N/A,FALSE,"Starting Cost";"umbenlim",#N/A,FALSE,"Starting Cost";"umprovdisc",#N/A,FALSE,"Starting Cost";"umother",#N/A,FALSE,"Starting Cost";"umtrend",#N/A,FALSE,"Starting Cost"}</definedName>
    <definedName name="wrn.Detail." localSheetId="34" hidden="1">{"umarea",#N/A,FALSE,"Starting Cost";"umagesex",#N/A,FALSE,"Starting Cost";"umbenlim",#N/A,FALSE,"Starting Cost";"umprovdisc",#N/A,FALSE,"Starting Cost";"umother",#N/A,FALSE,"Starting Cost";"umtrend",#N/A,FALSE,"Starting Cost"}</definedName>
    <definedName name="wrn.Detail." localSheetId="36" hidden="1">{"umarea",#N/A,FALSE,"Starting Cost";"umagesex",#N/A,FALSE,"Starting Cost";"umbenlim",#N/A,FALSE,"Starting Cost";"umprovdisc",#N/A,FALSE,"Starting Cost";"umother",#N/A,FALSE,"Starting Cost";"umtrend",#N/A,FALSE,"Starting Cost"}</definedName>
    <definedName name="wrn.Detail." localSheetId="38" hidden="1">{"umarea",#N/A,FALSE,"Starting Cost";"umagesex",#N/A,FALSE,"Starting Cost";"umbenlim",#N/A,FALSE,"Starting Cost";"umprovdisc",#N/A,FALSE,"Starting Cost";"umother",#N/A,FALSE,"Starting Cost";"umtrend",#N/A,FALSE,"Starting Cost"}</definedName>
    <definedName name="wrn.Detail." localSheetId="6" hidden="1">{"umarea",#N/A,FALSE,"Starting Cost";"umagesex",#N/A,FALSE,"Starting Cost";"umbenlim",#N/A,FALSE,"Starting Cost";"umprovdisc",#N/A,FALSE,"Starting Cost";"umother",#N/A,FALSE,"Starting Cost";"umtrend",#N/A,FALSE,"Starting Cost"}</definedName>
    <definedName name="wrn.Detail." localSheetId="8" hidden="1">{"umarea",#N/A,FALSE,"Starting Cost";"umagesex",#N/A,FALSE,"Starting Cost";"umbenlim",#N/A,FALSE,"Starting Cost";"umprovdisc",#N/A,FALSE,"Starting Cost";"umother",#N/A,FALSE,"Starting Cost";"umtrend",#N/A,FALSE,"Starting Cost"}</definedName>
    <definedName name="wrn.Detail." localSheetId="10" hidden="1">{"umarea",#N/A,FALSE,"Starting Cost";"umagesex",#N/A,FALSE,"Starting Cost";"umbenlim",#N/A,FALSE,"Starting Cost";"umprovdisc",#N/A,FALSE,"Starting Cost";"umother",#N/A,FALSE,"Starting Cost";"umtrend",#N/A,FALSE,"Starting Cost"}</definedName>
    <definedName name="wrn.Detail." localSheetId="12" hidden="1">{"umarea",#N/A,FALSE,"Starting Cost";"umagesex",#N/A,FALSE,"Starting Cost";"umbenlim",#N/A,FALSE,"Starting Cost";"umprovdisc",#N/A,FALSE,"Starting Cost";"umother",#N/A,FALSE,"Starting Cost";"umtrend",#N/A,FALSE,"Starting Cost"}</definedName>
    <definedName name="wrn.Detail." localSheetId="14" hidden="1">{"umarea",#N/A,FALSE,"Starting Cost";"umagesex",#N/A,FALSE,"Starting Cost";"umbenlim",#N/A,FALSE,"Starting Cost";"umprovdisc",#N/A,FALSE,"Starting Cost";"umother",#N/A,FALSE,"Starting Cost";"umtrend",#N/A,FALSE,"Starting Cost"}</definedName>
    <definedName name="wrn.Detail." localSheetId="46" hidden="1">{"umarea",#N/A,FALSE,"Starting Cost";"umagesex",#N/A,FALSE,"Starting Cost";"umbenlim",#N/A,FALSE,"Starting Cost";"umprovdisc",#N/A,FALSE,"Starting Cost";"umother",#N/A,FALSE,"Starting Cost";"umtrend",#N/A,FALSE,"Starting Cost"}</definedName>
    <definedName name="wrn.Detail." localSheetId="48" hidden="1">{"umarea",#N/A,FALSE,"Starting Cost";"umagesex",#N/A,FALSE,"Starting Cost";"umbenlim",#N/A,FALSE,"Starting Cost";"umprovdisc",#N/A,FALSE,"Starting Cost";"umother",#N/A,FALSE,"Starting Cost";"umtrend",#N/A,FALSE,"Starting Cost"}</definedName>
    <definedName name="wrn.Detail." localSheetId="50" hidden="1">{"umarea",#N/A,FALSE,"Starting Cost";"umagesex",#N/A,FALSE,"Starting Cost";"umbenlim",#N/A,FALSE,"Starting Cost";"umprovdisc",#N/A,FALSE,"Starting Cost";"umother",#N/A,FALSE,"Starting Cost";"umtrend",#N/A,FALSE,"Starting Cost"}</definedName>
    <definedName name="wrn.Detail." localSheetId="52" hidden="1">{"umarea",#N/A,FALSE,"Starting Cost";"umagesex",#N/A,FALSE,"Starting Cost";"umbenlim",#N/A,FALSE,"Starting Cost";"umprovdisc",#N/A,FALSE,"Starting Cost";"umother",#N/A,FALSE,"Starting Cost";"umtrend",#N/A,FALSE,"Starting Cost"}</definedName>
    <definedName name="wrn.Detail." localSheetId="54" hidden="1">{"umarea",#N/A,FALSE,"Starting Cost";"umagesex",#N/A,FALSE,"Starting Cost";"umbenlim",#N/A,FALSE,"Starting Cost";"umprovdisc",#N/A,FALSE,"Starting Cost";"umother",#N/A,FALSE,"Starting Cost";"umtrend",#N/A,FALSE,"Starting Cost"}</definedName>
    <definedName name="wrn.Detail." localSheetId="56" hidden="1">{"umarea",#N/A,FALSE,"Starting Cost";"umagesex",#N/A,FALSE,"Starting Cost";"umbenlim",#N/A,FALSE,"Starting Cost";"umprovdisc",#N/A,FALSE,"Starting Cost";"umother",#N/A,FALSE,"Starting Cost";"umtrend",#N/A,FALSE,"Starting Cost"}</definedName>
    <definedName name="wrn.Detail." localSheetId="42" hidden="1">{"umarea",#N/A,FALSE,"Starting Cost";"umagesex",#N/A,FALSE,"Starting Cost";"umbenlim",#N/A,FALSE,"Starting Cost";"umprovdisc",#N/A,FALSE,"Starting Cost";"umother",#N/A,FALSE,"Starting Cost";"umtrend",#N/A,FALSE,"Starting Cost"}</definedName>
    <definedName name="wrn.Detail." localSheetId="45" hidden="1">{"umarea",#N/A,FALSE,"Starting Cost";"umagesex",#N/A,FALSE,"Starting Cost";"umbenlim",#N/A,FALSE,"Starting Cost";"umprovdisc",#N/A,FALSE,"Starting Cost";"umother",#N/A,FALSE,"Starting Cost";"umtrend",#N/A,FALSE,"Starting Cost"}</definedName>
    <definedName name="wrn.Detail." localSheetId="47" hidden="1">{"umarea",#N/A,FALSE,"Starting Cost";"umagesex",#N/A,FALSE,"Starting Cost";"umbenlim",#N/A,FALSE,"Starting Cost";"umprovdisc",#N/A,FALSE,"Starting Cost";"umother",#N/A,FALSE,"Starting Cost";"umtrend",#N/A,FALSE,"Starting Cost"}</definedName>
    <definedName name="wrn.Detail." localSheetId="49" hidden="1">{"umarea",#N/A,FALSE,"Starting Cost";"umagesex",#N/A,FALSE,"Starting Cost";"umbenlim",#N/A,FALSE,"Starting Cost";"umprovdisc",#N/A,FALSE,"Starting Cost";"umother",#N/A,FALSE,"Starting Cost";"umtrend",#N/A,FALSE,"Starting Cost"}</definedName>
    <definedName name="wrn.Detail." localSheetId="51" hidden="1">{"umarea",#N/A,FALSE,"Starting Cost";"umagesex",#N/A,FALSE,"Starting Cost";"umbenlim",#N/A,FALSE,"Starting Cost";"umprovdisc",#N/A,FALSE,"Starting Cost";"umother",#N/A,FALSE,"Starting Cost";"umtrend",#N/A,FALSE,"Starting Cost"}</definedName>
    <definedName name="wrn.Detail." localSheetId="53" hidden="1">{"umarea",#N/A,FALSE,"Starting Cost";"umagesex",#N/A,FALSE,"Starting Cost";"umbenlim",#N/A,FALSE,"Starting Cost";"umprovdisc",#N/A,FALSE,"Starting Cost";"umother",#N/A,FALSE,"Starting Cost";"umtrend",#N/A,FALSE,"Starting Cost"}</definedName>
    <definedName name="wrn.Detail." localSheetId="55" hidden="1">{"umarea",#N/A,FALSE,"Starting Cost";"umagesex",#N/A,FALSE,"Starting Cost";"umbenlim",#N/A,FALSE,"Starting Cost";"umprovdisc",#N/A,FALSE,"Starting Cost";"umother",#N/A,FALSE,"Starting Cost";"umtrend",#N/A,FALSE,"Starting Cost"}</definedName>
    <definedName name="wrn.Detail." localSheetId="41" hidden="1">{"umarea",#N/A,FALSE,"Starting Cost";"umagesex",#N/A,FALSE,"Starting Cost";"umbenlim",#N/A,FALSE,"Starting Cost";"umprovdisc",#N/A,FALSE,"Starting Cost";"umother",#N/A,FALSE,"Starting Cost";"umtrend",#N/A,FALSE,"Starting Cost"}</definedName>
    <definedName name="wrn.Detail." localSheetId="67" hidden="1">{"umarea",#N/A,FALSE,"Starting Cost";"umagesex",#N/A,FALSE,"Starting Cost";"umbenlim",#N/A,FALSE,"Starting Cost";"umprovdisc",#N/A,FALSE,"Starting Cost";"umother",#N/A,FALSE,"Starting Cost";"umtrend",#N/A,FALSE,"Starting Cost"}</definedName>
    <definedName name="wrn.Detail." localSheetId="69" hidden="1">{"umarea",#N/A,FALSE,"Starting Cost";"umagesex",#N/A,FALSE,"Starting Cost";"umbenlim",#N/A,FALSE,"Starting Cost";"umprovdisc",#N/A,FALSE,"Starting Cost";"umother",#N/A,FALSE,"Starting Cost";"umtrend",#N/A,FALSE,"Starting Cost"}</definedName>
    <definedName name="wrn.Detail." localSheetId="71" hidden="1">{"umarea",#N/A,FALSE,"Starting Cost";"umagesex",#N/A,FALSE,"Starting Cost";"umbenlim",#N/A,FALSE,"Starting Cost";"umprovdisc",#N/A,FALSE,"Starting Cost";"umother",#N/A,FALSE,"Starting Cost";"umtrend",#N/A,FALSE,"Starting Cost"}</definedName>
    <definedName name="wrn.Detail." localSheetId="59" hidden="1">{"umarea",#N/A,FALSE,"Starting Cost";"umagesex",#N/A,FALSE,"Starting Cost";"umbenlim",#N/A,FALSE,"Starting Cost";"umprovdisc",#N/A,FALSE,"Starting Cost";"umother",#N/A,FALSE,"Starting Cost";"umtrend",#N/A,FALSE,"Starting Cost"}</definedName>
    <definedName name="wrn.Detail." localSheetId="61" hidden="1">{"umarea",#N/A,FALSE,"Starting Cost";"umagesex",#N/A,FALSE,"Starting Cost";"umbenlim",#N/A,FALSE,"Starting Cost";"umprovdisc",#N/A,FALSE,"Starting Cost";"umother",#N/A,FALSE,"Starting Cost";"umtrend",#N/A,FALSE,"Starting Cost"}</definedName>
    <definedName name="wrn.Detail." localSheetId="65" hidden="1">{"umarea",#N/A,FALSE,"Starting Cost";"umagesex",#N/A,FALSE,"Starting Cost";"umbenlim",#N/A,FALSE,"Starting Cost";"umprovdisc",#N/A,FALSE,"Starting Cost";"umother",#N/A,FALSE,"Starting Cost";"umtrend",#N/A,FALSE,"Starting Cost"}</definedName>
    <definedName name="wrn.Detail." localSheetId="66" hidden="1">{"umarea",#N/A,FALSE,"Starting Cost";"umagesex",#N/A,FALSE,"Starting Cost";"umbenlim",#N/A,FALSE,"Starting Cost";"umprovdisc",#N/A,FALSE,"Starting Cost";"umother",#N/A,FALSE,"Starting Cost";"umtrend",#N/A,FALSE,"Starting Cost"}</definedName>
    <definedName name="wrn.Detail." localSheetId="68" hidden="1">{"umarea",#N/A,FALSE,"Starting Cost";"umagesex",#N/A,FALSE,"Starting Cost";"umbenlim",#N/A,FALSE,"Starting Cost";"umprovdisc",#N/A,FALSE,"Starting Cost";"umother",#N/A,FALSE,"Starting Cost";"umtrend",#N/A,FALSE,"Starting Cost"}</definedName>
    <definedName name="wrn.Detail." localSheetId="70" hidden="1">{"umarea",#N/A,FALSE,"Starting Cost";"umagesex",#N/A,FALSE,"Starting Cost";"umbenlim",#N/A,FALSE,"Starting Cost";"umprovdisc",#N/A,FALSE,"Starting Cost";"umother",#N/A,FALSE,"Starting Cost";"umtrend",#N/A,FALSE,"Starting Cost"}</definedName>
    <definedName name="wrn.Detail." localSheetId="58" hidden="1">{"umarea",#N/A,FALSE,"Starting Cost";"umagesex",#N/A,FALSE,"Starting Cost";"umbenlim",#N/A,FALSE,"Starting Cost";"umprovdisc",#N/A,FALSE,"Starting Cost";"umother",#N/A,FALSE,"Starting Cost";"umtrend",#N/A,FALSE,"Starting Cost"}</definedName>
    <definedName name="wrn.Detail." localSheetId="60" hidden="1">{"umarea",#N/A,FALSE,"Starting Cost";"umagesex",#N/A,FALSE,"Starting Cost";"umbenlim",#N/A,FALSE,"Starting Cost";"umprovdisc",#N/A,FALSE,"Starting Cost";"umother",#N/A,FALSE,"Starting Cost";"umtrend",#N/A,FALSE,"Starting Cost"}</definedName>
    <definedName name="wrn.Detail." localSheetId="64" hidden="1">{"umarea",#N/A,FALSE,"Starting Cost";"umagesex",#N/A,FALSE,"Starting Cost";"umbenlim",#N/A,FALSE,"Starting Cost";"umprovdisc",#N/A,FALSE,"Starting Cost";"umother",#N/A,FALSE,"Starting Cost";"umtrend",#N/A,FALSE,"Starting Cost"}</definedName>
    <definedName name="wrn.Detail." hidden="1">{"umarea",#N/A,FALSE,"Starting Cost";"umagesex",#N/A,FALSE,"Starting Cost";"umbenlim",#N/A,FALSE,"Starting Cost";"umprovdisc",#N/A,FALSE,"Starting Cost";"umother",#N/A,FALSE,"Starting Cost";"umtrend",#N/A,FALSE,"Starting Cost"}</definedName>
    <definedName name="wrn.Draft_COBRA_1." localSheetId="17" hidden="1">{"Regular_1",#N/A,FALSE,"Trend Form";"Disability_1",#N/A,FALSE,"Trend Form";"Detail_1",#N/A,FALSE,"Trend Form"}</definedName>
    <definedName name="wrn.Draft_COBRA_1." localSheetId="19" hidden="1">{"Regular_1",#N/A,FALSE,"Trend Form";"Disability_1",#N/A,FALSE,"Trend Form";"Detail_1",#N/A,FALSE,"Trend Form"}</definedName>
    <definedName name="wrn.Draft_COBRA_1." localSheetId="21" hidden="1">{"Regular_1",#N/A,FALSE,"Trend Form";"Disability_1",#N/A,FALSE,"Trend Form";"Detail_1",#N/A,FALSE,"Trend Form"}</definedName>
    <definedName name="wrn.Draft_COBRA_1." localSheetId="23" hidden="1">{"Regular_1",#N/A,FALSE,"Trend Form";"Disability_1",#N/A,FALSE,"Trend Form";"Detail_1",#N/A,FALSE,"Trend Form"}</definedName>
    <definedName name="wrn.Draft_COBRA_1." localSheetId="25" hidden="1">{"Regular_1",#N/A,FALSE,"Trend Form";"Disability_1",#N/A,FALSE,"Trend Form";"Detail_1",#N/A,FALSE,"Trend Form"}</definedName>
    <definedName name="wrn.Draft_COBRA_1." localSheetId="27" hidden="1">{"Regular_1",#N/A,FALSE,"Trend Form";"Disability_1",#N/A,FALSE,"Trend Form";"Detail_1",#N/A,FALSE,"Trend Form"}</definedName>
    <definedName name="wrn.Draft_COBRA_1." localSheetId="29" hidden="1">{"Regular_1",#N/A,FALSE,"Trend Form";"Disability_1",#N/A,FALSE,"Trend Form";"Detail_1",#N/A,FALSE,"Trend Form"}</definedName>
    <definedName name="wrn.Draft_COBRA_1." localSheetId="31" hidden="1">{"Regular_1",#N/A,FALSE,"Trend Form";"Disability_1",#N/A,FALSE,"Trend Form";"Detail_1",#N/A,FALSE,"Trend Form"}</definedName>
    <definedName name="wrn.Draft_COBRA_1." localSheetId="5" hidden="1">{"Regular_1",#N/A,FALSE,"Trend Form";"Disability_1",#N/A,FALSE,"Trend Form";"Detail_1",#N/A,FALSE,"Trend Form"}</definedName>
    <definedName name="wrn.Draft_COBRA_1." localSheetId="33" hidden="1">{"Regular_1",#N/A,FALSE,"Trend Form";"Disability_1",#N/A,FALSE,"Trend Form";"Detail_1",#N/A,FALSE,"Trend Form"}</definedName>
    <definedName name="wrn.Draft_COBRA_1." localSheetId="35" hidden="1">{"Regular_1",#N/A,FALSE,"Trend Form";"Disability_1",#N/A,FALSE,"Trend Form";"Detail_1",#N/A,FALSE,"Trend Form"}</definedName>
    <definedName name="wrn.Draft_COBRA_1." localSheetId="37" hidden="1">{"Regular_1",#N/A,FALSE,"Trend Form";"Disability_1",#N/A,FALSE,"Trend Form";"Detail_1",#N/A,FALSE,"Trend Form"}</definedName>
    <definedName name="wrn.Draft_COBRA_1." localSheetId="39" hidden="1">{"Regular_1",#N/A,FALSE,"Trend Form";"Disability_1",#N/A,FALSE,"Trend Form";"Detail_1",#N/A,FALSE,"Trend Form"}</definedName>
    <definedName name="wrn.Draft_COBRA_1." localSheetId="7" hidden="1">{"Regular_1",#N/A,FALSE,"Trend Form";"Disability_1",#N/A,FALSE,"Trend Form";"Detail_1",#N/A,FALSE,"Trend Form"}</definedName>
    <definedName name="wrn.Draft_COBRA_1." localSheetId="9" hidden="1">{"Regular_1",#N/A,FALSE,"Trend Form";"Disability_1",#N/A,FALSE,"Trend Form";"Detail_1",#N/A,FALSE,"Trend Form"}</definedName>
    <definedName name="wrn.Draft_COBRA_1." localSheetId="11" hidden="1">{"Regular_1",#N/A,FALSE,"Trend Form";"Disability_1",#N/A,FALSE,"Trend Form";"Detail_1",#N/A,FALSE,"Trend Form"}</definedName>
    <definedName name="wrn.Draft_COBRA_1." localSheetId="13" hidden="1">{"Regular_1",#N/A,FALSE,"Trend Form";"Disability_1",#N/A,FALSE,"Trend Form";"Detail_1",#N/A,FALSE,"Trend Form"}</definedName>
    <definedName name="wrn.Draft_COBRA_1." localSheetId="15" hidden="1">{"Regular_1",#N/A,FALSE,"Trend Form";"Disability_1",#N/A,FALSE,"Trend Form";"Detail_1",#N/A,FALSE,"Trend Form"}</definedName>
    <definedName name="wrn.Draft_COBRA_1." localSheetId="16" hidden="1">{"Regular_1",#N/A,FALSE,"Trend Form";"Disability_1",#N/A,FALSE,"Trend Form";"Detail_1",#N/A,FALSE,"Trend Form"}</definedName>
    <definedName name="wrn.Draft_COBRA_1." localSheetId="18" hidden="1">{"Regular_1",#N/A,FALSE,"Trend Form";"Disability_1",#N/A,FALSE,"Trend Form";"Detail_1",#N/A,FALSE,"Trend Form"}</definedName>
    <definedName name="wrn.Draft_COBRA_1." localSheetId="20" hidden="1">{"Regular_1",#N/A,FALSE,"Trend Form";"Disability_1",#N/A,FALSE,"Trend Form";"Detail_1",#N/A,FALSE,"Trend Form"}</definedName>
    <definedName name="wrn.Draft_COBRA_1." localSheetId="22" hidden="1">{"Regular_1",#N/A,FALSE,"Trend Form";"Disability_1",#N/A,FALSE,"Trend Form";"Detail_1",#N/A,FALSE,"Trend Form"}</definedName>
    <definedName name="wrn.Draft_COBRA_1." localSheetId="24" hidden="1">{"Regular_1",#N/A,FALSE,"Trend Form";"Disability_1",#N/A,FALSE,"Trend Form";"Detail_1",#N/A,FALSE,"Trend Form"}</definedName>
    <definedName name="wrn.Draft_COBRA_1." localSheetId="26" hidden="1">{"Regular_1",#N/A,FALSE,"Trend Form";"Disability_1",#N/A,FALSE,"Trend Form";"Detail_1",#N/A,FALSE,"Trend Form"}</definedName>
    <definedName name="wrn.Draft_COBRA_1." localSheetId="28" hidden="1">{"Regular_1",#N/A,FALSE,"Trend Form";"Disability_1",#N/A,FALSE,"Trend Form";"Detail_1",#N/A,FALSE,"Trend Form"}</definedName>
    <definedName name="wrn.Draft_COBRA_1." localSheetId="30" hidden="1">{"Regular_1",#N/A,FALSE,"Trend Form";"Disability_1",#N/A,FALSE,"Trend Form";"Detail_1",#N/A,FALSE,"Trend Form"}</definedName>
    <definedName name="wrn.Draft_COBRA_1." localSheetId="4" hidden="1">{"Regular_1",#N/A,FALSE,"Trend Form";"Disability_1",#N/A,FALSE,"Trend Form";"Detail_1",#N/A,FALSE,"Trend Form"}</definedName>
    <definedName name="wrn.Draft_COBRA_1." localSheetId="32" hidden="1">{"Regular_1",#N/A,FALSE,"Trend Form";"Disability_1",#N/A,FALSE,"Trend Form";"Detail_1",#N/A,FALSE,"Trend Form"}</definedName>
    <definedName name="wrn.Draft_COBRA_1." localSheetId="34" hidden="1">{"Regular_1",#N/A,FALSE,"Trend Form";"Disability_1",#N/A,FALSE,"Trend Form";"Detail_1",#N/A,FALSE,"Trend Form"}</definedName>
    <definedName name="wrn.Draft_COBRA_1." localSheetId="36" hidden="1">{"Regular_1",#N/A,FALSE,"Trend Form";"Disability_1",#N/A,FALSE,"Trend Form";"Detail_1",#N/A,FALSE,"Trend Form"}</definedName>
    <definedName name="wrn.Draft_COBRA_1." localSheetId="38" hidden="1">{"Regular_1",#N/A,FALSE,"Trend Form";"Disability_1",#N/A,FALSE,"Trend Form";"Detail_1",#N/A,FALSE,"Trend Form"}</definedName>
    <definedName name="wrn.Draft_COBRA_1." localSheetId="6" hidden="1">{"Regular_1",#N/A,FALSE,"Trend Form";"Disability_1",#N/A,FALSE,"Trend Form";"Detail_1",#N/A,FALSE,"Trend Form"}</definedName>
    <definedName name="wrn.Draft_COBRA_1." localSheetId="8" hidden="1">{"Regular_1",#N/A,FALSE,"Trend Form";"Disability_1",#N/A,FALSE,"Trend Form";"Detail_1",#N/A,FALSE,"Trend Form"}</definedName>
    <definedName name="wrn.Draft_COBRA_1." localSheetId="10" hidden="1">{"Regular_1",#N/A,FALSE,"Trend Form";"Disability_1",#N/A,FALSE,"Trend Form";"Detail_1",#N/A,FALSE,"Trend Form"}</definedName>
    <definedName name="wrn.Draft_COBRA_1." localSheetId="12" hidden="1">{"Regular_1",#N/A,FALSE,"Trend Form";"Disability_1",#N/A,FALSE,"Trend Form";"Detail_1",#N/A,FALSE,"Trend Form"}</definedName>
    <definedName name="wrn.Draft_COBRA_1." localSheetId="14" hidden="1">{"Regular_1",#N/A,FALSE,"Trend Form";"Disability_1",#N/A,FALSE,"Trend Form";"Detail_1",#N/A,FALSE,"Trend Form"}</definedName>
    <definedName name="wrn.Draft_COBRA_1." localSheetId="46" hidden="1">{"Regular_1",#N/A,FALSE,"Trend Form";"Disability_1",#N/A,FALSE,"Trend Form";"Detail_1",#N/A,FALSE,"Trend Form"}</definedName>
    <definedName name="wrn.Draft_COBRA_1." localSheetId="48" hidden="1">{"Regular_1",#N/A,FALSE,"Trend Form";"Disability_1",#N/A,FALSE,"Trend Form";"Detail_1",#N/A,FALSE,"Trend Form"}</definedName>
    <definedName name="wrn.Draft_COBRA_1." localSheetId="50" hidden="1">{"Regular_1",#N/A,FALSE,"Trend Form";"Disability_1",#N/A,FALSE,"Trend Form";"Detail_1",#N/A,FALSE,"Trend Form"}</definedName>
    <definedName name="wrn.Draft_COBRA_1." localSheetId="52" hidden="1">{"Regular_1",#N/A,FALSE,"Trend Form";"Disability_1",#N/A,FALSE,"Trend Form";"Detail_1",#N/A,FALSE,"Trend Form"}</definedName>
    <definedName name="wrn.Draft_COBRA_1." localSheetId="54" hidden="1">{"Regular_1",#N/A,FALSE,"Trend Form";"Disability_1",#N/A,FALSE,"Trend Form";"Detail_1",#N/A,FALSE,"Trend Form"}</definedName>
    <definedName name="wrn.Draft_COBRA_1." localSheetId="56" hidden="1">{"Regular_1",#N/A,FALSE,"Trend Form";"Disability_1",#N/A,FALSE,"Trend Form";"Detail_1",#N/A,FALSE,"Trend Form"}</definedName>
    <definedName name="wrn.Draft_COBRA_1." localSheetId="42" hidden="1">{"Regular_1",#N/A,FALSE,"Trend Form";"Disability_1",#N/A,FALSE,"Trend Form";"Detail_1",#N/A,FALSE,"Trend Form"}</definedName>
    <definedName name="wrn.Draft_COBRA_1." localSheetId="45" hidden="1">{"Regular_1",#N/A,FALSE,"Trend Form";"Disability_1",#N/A,FALSE,"Trend Form";"Detail_1",#N/A,FALSE,"Trend Form"}</definedName>
    <definedName name="wrn.Draft_COBRA_1." localSheetId="47" hidden="1">{"Regular_1",#N/A,FALSE,"Trend Form";"Disability_1",#N/A,FALSE,"Trend Form";"Detail_1",#N/A,FALSE,"Trend Form"}</definedName>
    <definedName name="wrn.Draft_COBRA_1." localSheetId="49" hidden="1">{"Regular_1",#N/A,FALSE,"Trend Form";"Disability_1",#N/A,FALSE,"Trend Form";"Detail_1",#N/A,FALSE,"Trend Form"}</definedName>
    <definedName name="wrn.Draft_COBRA_1." localSheetId="51" hidden="1">{"Regular_1",#N/A,FALSE,"Trend Form";"Disability_1",#N/A,FALSE,"Trend Form";"Detail_1",#N/A,FALSE,"Trend Form"}</definedName>
    <definedName name="wrn.Draft_COBRA_1." localSheetId="53" hidden="1">{"Regular_1",#N/A,FALSE,"Trend Form";"Disability_1",#N/A,FALSE,"Trend Form";"Detail_1",#N/A,FALSE,"Trend Form"}</definedName>
    <definedName name="wrn.Draft_COBRA_1." localSheetId="55" hidden="1">{"Regular_1",#N/A,FALSE,"Trend Form";"Disability_1",#N/A,FALSE,"Trend Form";"Detail_1",#N/A,FALSE,"Trend Form"}</definedName>
    <definedName name="wrn.Draft_COBRA_1." localSheetId="41" hidden="1">{"Regular_1",#N/A,FALSE,"Trend Form";"Disability_1",#N/A,FALSE,"Trend Form";"Detail_1",#N/A,FALSE,"Trend Form"}</definedName>
    <definedName name="wrn.Draft_COBRA_1." localSheetId="67" hidden="1">{"Regular_1",#N/A,FALSE,"Trend Form";"Disability_1",#N/A,FALSE,"Trend Form";"Detail_1",#N/A,FALSE,"Trend Form"}</definedName>
    <definedName name="wrn.Draft_COBRA_1." localSheetId="69" hidden="1">{"Regular_1",#N/A,FALSE,"Trend Form";"Disability_1",#N/A,FALSE,"Trend Form";"Detail_1",#N/A,FALSE,"Trend Form"}</definedName>
    <definedName name="wrn.Draft_COBRA_1." localSheetId="71" hidden="1">{"Regular_1",#N/A,FALSE,"Trend Form";"Disability_1",#N/A,FALSE,"Trend Form";"Detail_1",#N/A,FALSE,"Trend Form"}</definedName>
    <definedName name="wrn.Draft_COBRA_1." localSheetId="59" hidden="1">{"Regular_1",#N/A,FALSE,"Trend Form";"Disability_1",#N/A,FALSE,"Trend Form";"Detail_1",#N/A,FALSE,"Trend Form"}</definedName>
    <definedName name="wrn.Draft_COBRA_1." localSheetId="61" hidden="1">{"Regular_1",#N/A,FALSE,"Trend Form";"Disability_1",#N/A,FALSE,"Trend Form";"Detail_1",#N/A,FALSE,"Trend Form"}</definedName>
    <definedName name="wrn.Draft_COBRA_1." localSheetId="65" hidden="1">{"Regular_1",#N/A,FALSE,"Trend Form";"Disability_1",#N/A,FALSE,"Trend Form";"Detail_1",#N/A,FALSE,"Trend Form"}</definedName>
    <definedName name="wrn.Draft_COBRA_1." localSheetId="66" hidden="1">{"Regular_1",#N/A,FALSE,"Trend Form";"Disability_1",#N/A,FALSE,"Trend Form";"Detail_1",#N/A,FALSE,"Trend Form"}</definedName>
    <definedName name="wrn.Draft_COBRA_1." localSheetId="68" hidden="1">{"Regular_1",#N/A,FALSE,"Trend Form";"Disability_1",#N/A,FALSE,"Trend Form";"Detail_1",#N/A,FALSE,"Trend Form"}</definedName>
    <definedName name="wrn.Draft_COBRA_1." localSheetId="70" hidden="1">{"Regular_1",#N/A,FALSE,"Trend Form";"Disability_1",#N/A,FALSE,"Trend Form";"Detail_1",#N/A,FALSE,"Trend Form"}</definedName>
    <definedName name="wrn.Draft_COBRA_1." localSheetId="58" hidden="1">{"Regular_1",#N/A,FALSE,"Trend Form";"Disability_1",#N/A,FALSE,"Trend Form";"Detail_1",#N/A,FALSE,"Trend Form"}</definedName>
    <definedName name="wrn.Draft_COBRA_1." localSheetId="60" hidden="1">{"Regular_1",#N/A,FALSE,"Trend Form";"Disability_1",#N/A,FALSE,"Trend Form";"Detail_1",#N/A,FALSE,"Trend Form"}</definedName>
    <definedName name="wrn.Draft_COBRA_1." localSheetId="64" hidden="1">{"Regular_1",#N/A,FALSE,"Trend Form";"Disability_1",#N/A,FALSE,"Trend Form";"Detail_1",#N/A,FALSE,"Trend Form"}</definedName>
    <definedName name="wrn.Draft_COBRA_1." hidden="1">{"Regular_1",#N/A,FALSE,"Trend Form";"Disability_1",#N/A,FALSE,"Trend Form";"Detail_1",#N/A,FALSE,"Trend Form"}</definedName>
    <definedName name="wrn.Draft_COBRA_1_2." localSheetId="17" hidden="1">{"Regular_1",#N/A,FALSE,"Trend Form";"Disability_1",#N/A,FALSE,"Trend Form";"Detail_1",#N/A,FALSE,"Trend Form";"Regular_2",#N/A,FALSE,"Trend Form";"Disability_2",#N/A,FALSE,"Trend Form";"Detail_2",#N/A,FALSE,"Trend Form"}</definedName>
    <definedName name="wrn.Draft_COBRA_1_2." localSheetId="19" hidden="1">{"Regular_1",#N/A,FALSE,"Trend Form";"Disability_1",#N/A,FALSE,"Trend Form";"Detail_1",#N/A,FALSE,"Trend Form";"Regular_2",#N/A,FALSE,"Trend Form";"Disability_2",#N/A,FALSE,"Trend Form";"Detail_2",#N/A,FALSE,"Trend Form"}</definedName>
    <definedName name="wrn.Draft_COBRA_1_2." localSheetId="21" hidden="1">{"Regular_1",#N/A,FALSE,"Trend Form";"Disability_1",#N/A,FALSE,"Trend Form";"Detail_1",#N/A,FALSE,"Trend Form";"Regular_2",#N/A,FALSE,"Trend Form";"Disability_2",#N/A,FALSE,"Trend Form";"Detail_2",#N/A,FALSE,"Trend Form"}</definedName>
    <definedName name="wrn.Draft_COBRA_1_2." localSheetId="23" hidden="1">{"Regular_1",#N/A,FALSE,"Trend Form";"Disability_1",#N/A,FALSE,"Trend Form";"Detail_1",#N/A,FALSE,"Trend Form";"Regular_2",#N/A,FALSE,"Trend Form";"Disability_2",#N/A,FALSE,"Trend Form";"Detail_2",#N/A,FALSE,"Trend Form"}</definedName>
    <definedName name="wrn.Draft_COBRA_1_2." localSheetId="25" hidden="1">{"Regular_1",#N/A,FALSE,"Trend Form";"Disability_1",#N/A,FALSE,"Trend Form";"Detail_1",#N/A,FALSE,"Trend Form";"Regular_2",#N/A,FALSE,"Trend Form";"Disability_2",#N/A,FALSE,"Trend Form";"Detail_2",#N/A,FALSE,"Trend Form"}</definedName>
    <definedName name="wrn.Draft_COBRA_1_2." localSheetId="27" hidden="1">{"Regular_1",#N/A,FALSE,"Trend Form";"Disability_1",#N/A,FALSE,"Trend Form";"Detail_1",#N/A,FALSE,"Trend Form";"Regular_2",#N/A,FALSE,"Trend Form";"Disability_2",#N/A,FALSE,"Trend Form";"Detail_2",#N/A,FALSE,"Trend Form"}</definedName>
    <definedName name="wrn.Draft_COBRA_1_2." localSheetId="29" hidden="1">{"Regular_1",#N/A,FALSE,"Trend Form";"Disability_1",#N/A,FALSE,"Trend Form";"Detail_1",#N/A,FALSE,"Trend Form";"Regular_2",#N/A,FALSE,"Trend Form";"Disability_2",#N/A,FALSE,"Trend Form";"Detail_2",#N/A,FALSE,"Trend Form"}</definedName>
    <definedName name="wrn.Draft_COBRA_1_2." localSheetId="31" hidden="1">{"Regular_1",#N/A,FALSE,"Trend Form";"Disability_1",#N/A,FALSE,"Trend Form";"Detail_1",#N/A,FALSE,"Trend Form";"Regular_2",#N/A,FALSE,"Trend Form";"Disability_2",#N/A,FALSE,"Trend Form";"Detail_2",#N/A,FALSE,"Trend Form"}</definedName>
    <definedName name="wrn.Draft_COBRA_1_2." localSheetId="5" hidden="1">{"Regular_1",#N/A,FALSE,"Trend Form";"Disability_1",#N/A,FALSE,"Trend Form";"Detail_1",#N/A,FALSE,"Trend Form";"Regular_2",#N/A,FALSE,"Trend Form";"Disability_2",#N/A,FALSE,"Trend Form";"Detail_2",#N/A,FALSE,"Trend Form"}</definedName>
    <definedName name="wrn.Draft_COBRA_1_2." localSheetId="33" hidden="1">{"Regular_1",#N/A,FALSE,"Trend Form";"Disability_1",#N/A,FALSE,"Trend Form";"Detail_1",#N/A,FALSE,"Trend Form";"Regular_2",#N/A,FALSE,"Trend Form";"Disability_2",#N/A,FALSE,"Trend Form";"Detail_2",#N/A,FALSE,"Trend Form"}</definedName>
    <definedName name="wrn.Draft_COBRA_1_2." localSheetId="35" hidden="1">{"Regular_1",#N/A,FALSE,"Trend Form";"Disability_1",#N/A,FALSE,"Trend Form";"Detail_1",#N/A,FALSE,"Trend Form";"Regular_2",#N/A,FALSE,"Trend Form";"Disability_2",#N/A,FALSE,"Trend Form";"Detail_2",#N/A,FALSE,"Trend Form"}</definedName>
    <definedName name="wrn.Draft_COBRA_1_2." localSheetId="37" hidden="1">{"Regular_1",#N/A,FALSE,"Trend Form";"Disability_1",#N/A,FALSE,"Trend Form";"Detail_1",#N/A,FALSE,"Trend Form";"Regular_2",#N/A,FALSE,"Trend Form";"Disability_2",#N/A,FALSE,"Trend Form";"Detail_2",#N/A,FALSE,"Trend Form"}</definedName>
    <definedName name="wrn.Draft_COBRA_1_2." localSheetId="39" hidden="1">{"Regular_1",#N/A,FALSE,"Trend Form";"Disability_1",#N/A,FALSE,"Trend Form";"Detail_1",#N/A,FALSE,"Trend Form";"Regular_2",#N/A,FALSE,"Trend Form";"Disability_2",#N/A,FALSE,"Trend Form";"Detail_2",#N/A,FALSE,"Trend Form"}</definedName>
    <definedName name="wrn.Draft_COBRA_1_2." localSheetId="7" hidden="1">{"Regular_1",#N/A,FALSE,"Trend Form";"Disability_1",#N/A,FALSE,"Trend Form";"Detail_1",#N/A,FALSE,"Trend Form";"Regular_2",#N/A,FALSE,"Trend Form";"Disability_2",#N/A,FALSE,"Trend Form";"Detail_2",#N/A,FALSE,"Trend Form"}</definedName>
    <definedName name="wrn.Draft_COBRA_1_2." localSheetId="9" hidden="1">{"Regular_1",#N/A,FALSE,"Trend Form";"Disability_1",#N/A,FALSE,"Trend Form";"Detail_1",#N/A,FALSE,"Trend Form";"Regular_2",#N/A,FALSE,"Trend Form";"Disability_2",#N/A,FALSE,"Trend Form";"Detail_2",#N/A,FALSE,"Trend Form"}</definedName>
    <definedName name="wrn.Draft_COBRA_1_2." localSheetId="11" hidden="1">{"Regular_1",#N/A,FALSE,"Trend Form";"Disability_1",#N/A,FALSE,"Trend Form";"Detail_1",#N/A,FALSE,"Trend Form";"Regular_2",#N/A,FALSE,"Trend Form";"Disability_2",#N/A,FALSE,"Trend Form";"Detail_2",#N/A,FALSE,"Trend Form"}</definedName>
    <definedName name="wrn.Draft_COBRA_1_2." localSheetId="13" hidden="1">{"Regular_1",#N/A,FALSE,"Trend Form";"Disability_1",#N/A,FALSE,"Trend Form";"Detail_1",#N/A,FALSE,"Trend Form";"Regular_2",#N/A,FALSE,"Trend Form";"Disability_2",#N/A,FALSE,"Trend Form";"Detail_2",#N/A,FALSE,"Trend Form"}</definedName>
    <definedName name="wrn.Draft_COBRA_1_2." localSheetId="15" hidden="1">{"Regular_1",#N/A,FALSE,"Trend Form";"Disability_1",#N/A,FALSE,"Trend Form";"Detail_1",#N/A,FALSE,"Trend Form";"Regular_2",#N/A,FALSE,"Trend Form";"Disability_2",#N/A,FALSE,"Trend Form";"Detail_2",#N/A,FALSE,"Trend Form"}</definedName>
    <definedName name="wrn.Draft_COBRA_1_2." localSheetId="16" hidden="1">{"Regular_1",#N/A,FALSE,"Trend Form";"Disability_1",#N/A,FALSE,"Trend Form";"Detail_1",#N/A,FALSE,"Trend Form";"Regular_2",#N/A,FALSE,"Trend Form";"Disability_2",#N/A,FALSE,"Trend Form";"Detail_2",#N/A,FALSE,"Trend Form"}</definedName>
    <definedName name="wrn.Draft_COBRA_1_2." localSheetId="18" hidden="1">{"Regular_1",#N/A,FALSE,"Trend Form";"Disability_1",#N/A,FALSE,"Trend Form";"Detail_1",#N/A,FALSE,"Trend Form";"Regular_2",#N/A,FALSE,"Trend Form";"Disability_2",#N/A,FALSE,"Trend Form";"Detail_2",#N/A,FALSE,"Trend Form"}</definedName>
    <definedName name="wrn.Draft_COBRA_1_2." localSheetId="20" hidden="1">{"Regular_1",#N/A,FALSE,"Trend Form";"Disability_1",#N/A,FALSE,"Trend Form";"Detail_1",#N/A,FALSE,"Trend Form";"Regular_2",#N/A,FALSE,"Trend Form";"Disability_2",#N/A,FALSE,"Trend Form";"Detail_2",#N/A,FALSE,"Trend Form"}</definedName>
    <definedName name="wrn.Draft_COBRA_1_2." localSheetId="22" hidden="1">{"Regular_1",#N/A,FALSE,"Trend Form";"Disability_1",#N/A,FALSE,"Trend Form";"Detail_1",#N/A,FALSE,"Trend Form";"Regular_2",#N/A,FALSE,"Trend Form";"Disability_2",#N/A,FALSE,"Trend Form";"Detail_2",#N/A,FALSE,"Trend Form"}</definedName>
    <definedName name="wrn.Draft_COBRA_1_2." localSheetId="24" hidden="1">{"Regular_1",#N/A,FALSE,"Trend Form";"Disability_1",#N/A,FALSE,"Trend Form";"Detail_1",#N/A,FALSE,"Trend Form";"Regular_2",#N/A,FALSE,"Trend Form";"Disability_2",#N/A,FALSE,"Trend Form";"Detail_2",#N/A,FALSE,"Trend Form"}</definedName>
    <definedName name="wrn.Draft_COBRA_1_2." localSheetId="26" hidden="1">{"Regular_1",#N/A,FALSE,"Trend Form";"Disability_1",#N/A,FALSE,"Trend Form";"Detail_1",#N/A,FALSE,"Trend Form";"Regular_2",#N/A,FALSE,"Trend Form";"Disability_2",#N/A,FALSE,"Trend Form";"Detail_2",#N/A,FALSE,"Trend Form"}</definedName>
    <definedName name="wrn.Draft_COBRA_1_2." localSheetId="28" hidden="1">{"Regular_1",#N/A,FALSE,"Trend Form";"Disability_1",#N/A,FALSE,"Trend Form";"Detail_1",#N/A,FALSE,"Trend Form";"Regular_2",#N/A,FALSE,"Trend Form";"Disability_2",#N/A,FALSE,"Trend Form";"Detail_2",#N/A,FALSE,"Trend Form"}</definedName>
    <definedName name="wrn.Draft_COBRA_1_2." localSheetId="30" hidden="1">{"Regular_1",#N/A,FALSE,"Trend Form";"Disability_1",#N/A,FALSE,"Trend Form";"Detail_1",#N/A,FALSE,"Trend Form";"Regular_2",#N/A,FALSE,"Trend Form";"Disability_2",#N/A,FALSE,"Trend Form";"Detail_2",#N/A,FALSE,"Trend Form"}</definedName>
    <definedName name="wrn.Draft_COBRA_1_2." localSheetId="4" hidden="1">{"Regular_1",#N/A,FALSE,"Trend Form";"Disability_1",#N/A,FALSE,"Trend Form";"Detail_1",#N/A,FALSE,"Trend Form";"Regular_2",#N/A,FALSE,"Trend Form";"Disability_2",#N/A,FALSE,"Trend Form";"Detail_2",#N/A,FALSE,"Trend Form"}</definedName>
    <definedName name="wrn.Draft_COBRA_1_2." localSheetId="32" hidden="1">{"Regular_1",#N/A,FALSE,"Trend Form";"Disability_1",#N/A,FALSE,"Trend Form";"Detail_1",#N/A,FALSE,"Trend Form";"Regular_2",#N/A,FALSE,"Trend Form";"Disability_2",#N/A,FALSE,"Trend Form";"Detail_2",#N/A,FALSE,"Trend Form"}</definedName>
    <definedName name="wrn.Draft_COBRA_1_2." localSheetId="34" hidden="1">{"Regular_1",#N/A,FALSE,"Trend Form";"Disability_1",#N/A,FALSE,"Trend Form";"Detail_1",#N/A,FALSE,"Trend Form";"Regular_2",#N/A,FALSE,"Trend Form";"Disability_2",#N/A,FALSE,"Trend Form";"Detail_2",#N/A,FALSE,"Trend Form"}</definedName>
    <definedName name="wrn.Draft_COBRA_1_2." localSheetId="36" hidden="1">{"Regular_1",#N/A,FALSE,"Trend Form";"Disability_1",#N/A,FALSE,"Trend Form";"Detail_1",#N/A,FALSE,"Trend Form";"Regular_2",#N/A,FALSE,"Trend Form";"Disability_2",#N/A,FALSE,"Trend Form";"Detail_2",#N/A,FALSE,"Trend Form"}</definedName>
    <definedName name="wrn.Draft_COBRA_1_2." localSheetId="38" hidden="1">{"Regular_1",#N/A,FALSE,"Trend Form";"Disability_1",#N/A,FALSE,"Trend Form";"Detail_1",#N/A,FALSE,"Trend Form";"Regular_2",#N/A,FALSE,"Trend Form";"Disability_2",#N/A,FALSE,"Trend Form";"Detail_2",#N/A,FALSE,"Trend Form"}</definedName>
    <definedName name="wrn.Draft_COBRA_1_2." localSheetId="6" hidden="1">{"Regular_1",#N/A,FALSE,"Trend Form";"Disability_1",#N/A,FALSE,"Trend Form";"Detail_1",#N/A,FALSE,"Trend Form";"Regular_2",#N/A,FALSE,"Trend Form";"Disability_2",#N/A,FALSE,"Trend Form";"Detail_2",#N/A,FALSE,"Trend Form"}</definedName>
    <definedName name="wrn.Draft_COBRA_1_2." localSheetId="8" hidden="1">{"Regular_1",#N/A,FALSE,"Trend Form";"Disability_1",#N/A,FALSE,"Trend Form";"Detail_1",#N/A,FALSE,"Trend Form";"Regular_2",#N/A,FALSE,"Trend Form";"Disability_2",#N/A,FALSE,"Trend Form";"Detail_2",#N/A,FALSE,"Trend Form"}</definedName>
    <definedName name="wrn.Draft_COBRA_1_2." localSheetId="10" hidden="1">{"Regular_1",#N/A,FALSE,"Trend Form";"Disability_1",#N/A,FALSE,"Trend Form";"Detail_1",#N/A,FALSE,"Trend Form";"Regular_2",#N/A,FALSE,"Trend Form";"Disability_2",#N/A,FALSE,"Trend Form";"Detail_2",#N/A,FALSE,"Trend Form"}</definedName>
    <definedName name="wrn.Draft_COBRA_1_2." localSheetId="12" hidden="1">{"Regular_1",#N/A,FALSE,"Trend Form";"Disability_1",#N/A,FALSE,"Trend Form";"Detail_1",#N/A,FALSE,"Trend Form";"Regular_2",#N/A,FALSE,"Trend Form";"Disability_2",#N/A,FALSE,"Trend Form";"Detail_2",#N/A,FALSE,"Trend Form"}</definedName>
    <definedName name="wrn.Draft_COBRA_1_2." localSheetId="14" hidden="1">{"Regular_1",#N/A,FALSE,"Trend Form";"Disability_1",#N/A,FALSE,"Trend Form";"Detail_1",#N/A,FALSE,"Trend Form";"Regular_2",#N/A,FALSE,"Trend Form";"Disability_2",#N/A,FALSE,"Trend Form";"Detail_2",#N/A,FALSE,"Trend Form"}</definedName>
    <definedName name="wrn.Draft_COBRA_1_2." localSheetId="46" hidden="1">{"Regular_1",#N/A,FALSE,"Trend Form";"Disability_1",#N/A,FALSE,"Trend Form";"Detail_1",#N/A,FALSE,"Trend Form";"Regular_2",#N/A,FALSE,"Trend Form";"Disability_2",#N/A,FALSE,"Trend Form";"Detail_2",#N/A,FALSE,"Trend Form"}</definedName>
    <definedName name="wrn.Draft_COBRA_1_2." localSheetId="48" hidden="1">{"Regular_1",#N/A,FALSE,"Trend Form";"Disability_1",#N/A,FALSE,"Trend Form";"Detail_1",#N/A,FALSE,"Trend Form";"Regular_2",#N/A,FALSE,"Trend Form";"Disability_2",#N/A,FALSE,"Trend Form";"Detail_2",#N/A,FALSE,"Trend Form"}</definedName>
    <definedName name="wrn.Draft_COBRA_1_2." localSheetId="50" hidden="1">{"Regular_1",#N/A,FALSE,"Trend Form";"Disability_1",#N/A,FALSE,"Trend Form";"Detail_1",#N/A,FALSE,"Trend Form";"Regular_2",#N/A,FALSE,"Trend Form";"Disability_2",#N/A,FALSE,"Trend Form";"Detail_2",#N/A,FALSE,"Trend Form"}</definedName>
    <definedName name="wrn.Draft_COBRA_1_2." localSheetId="52" hidden="1">{"Regular_1",#N/A,FALSE,"Trend Form";"Disability_1",#N/A,FALSE,"Trend Form";"Detail_1",#N/A,FALSE,"Trend Form";"Regular_2",#N/A,FALSE,"Trend Form";"Disability_2",#N/A,FALSE,"Trend Form";"Detail_2",#N/A,FALSE,"Trend Form"}</definedName>
    <definedName name="wrn.Draft_COBRA_1_2." localSheetId="54" hidden="1">{"Regular_1",#N/A,FALSE,"Trend Form";"Disability_1",#N/A,FALSE,"Trend Form";"Detail_1",#N/A,FALSE,"Trend Form";"Regular_2",#N/A,FALSE,"Trend Form";"Disability_2",#N/A,FALSE,"Trend Form";"Detail_2",#N/A,FALSE,"Trend Form"}</definedName>
    <definedName name="wrn.Draft_COBRA_1_2." localSheetId="56" hidden="1">{"Regular_1",#N/A,FALSE,"Trend Form";"Disability_1",#N/A,FALSE,"Trend Form";"Detail_1",#N/A,FALSE,"Trend Form";"Regular_2",#N/A,FALSE,"Trend Form";"Disability_2",#N/A,FALSE,"Trend Form";"Detail_2",#N/A,FALSE,"Trend Form"}</definedName>
    <definedName name="wrn.Draft_COBRA_1_2." localSheetId="42" hidden="1">{"Regular_1",#N/A,FALSE,"Trend Form";"Disability_1",#N/A,FALSE,"Trend Form";"Detail_1",#N/A,FALSE,"Trend Form";"Regular_2",#N/A,FALSE,"Trend Form";"Disability_2",#N/A,FALSE,"Trend Form";"Detail_2",#N/A,FALSE,"Trend Form"}</definedName>
    <definedName name="wrn.Draft_COBRA_1_2." localSheetId="45" hidden="1">{"Regular_1",#N/A,FALSE,"Trend Form";"Disability_1",#N/A,FALSE,"Trend Form";"Detail_1",#N/A,FALSE,"Trend Form";"Regular_2",#N/A,FALSE,"Trend Form";"Disability_2",#N/A,FALSE,"Trend Form";"Detail_2",#N/A,FALSE,"Trend Form"}</definedName>
    <definedName name="wrn.Draft_COBRA_1_2." localSheetId="47" hidden="1">{"Regular_1",#N/A,FALSE,"Trend Form";"Disability_1",#N/A,FALSE,"Trend Form";"Detail_1",#N/A,FALSE,"Trend Form";"Regular_2",#N/A,FALSE,"Trend Form";"Disability_2",#N/A,FALSE,"Trend Form";"Detail_2",#N/A,FALSE,"Trend Form"}</definedName>
    <definedName name="wrn.Draft_COBRA_1_2." localSheetId="49" hidden="1">{"Regular_1",#N/A,FALSE,"Trend Form";"Disability_1",#N/A,FALSE,"Trend Form";"Detail_1",#N/A,FALSE,"Trend Form";"Regular_2",#N/A,FALSE,"Trend Form";"Disability_2",#N/A,FALSE,"Trend Form";"Detail_2",#N/A,FALSE,"Trend Form"}</definedName>
    <definedName name="wrn.Draft_COBRA_1_2." localSheetId="51" hidden="1">{"Regular_1",#N/A,FALSE,"Trend Form";"Disability_1",#N/A,FALSE,"Trend Form";"Detail_1",#N/A,FALSE,"Trend Form";"Regular_2",#N/A,FALSE,"Trend Form";"Disability_2",#N/A,FALSE,"Trend Form";"Detail_2",#N/A,FALSE,"Trend Form"}</definedName>
    <definedName name="wrn.Draft_COBRA_1_2." localSheetId="53" hidden="1">{"Regular_1",#N/A,FALSE,"Trend Form";"Disability_1",#N/A,FALSE,"Trend Form";"Detail_1",#N/A,FALSE,"Trend Form";"Regular_2",#N/A,FALSE,"Trend Form";"Disability_2",#N/A,FALSE,"Trend Form";"Detail_2",#N/A,FALSE,"Trend Form"}</definedName>
    <definedName name="wrn.Draft_COBRA_1_2." localSheetId="55" hidden="1">{"Regular_1",#N/A,FALSE,"Trend Form";"Disability_1",#N/A,FALSE,"Trend Form";"Detail_1",#N/A,FALSE,"Trend Form";"Regular_2",#N/A,FALSE,"Trend Form";"Disability_2",#N/A,FALSE,"Trend Form";"Detail_2",#N/A,FALSE,"Trend Form"}</definedName>
    <definedName name="wrn.Draft_COBRA_1_2." localSheetId="41" hidden="1">{"Regular_1",#N/A,FALSE,"Trend Form";"Disability_1",#N/A,FALSE,"Trend Form";"Detail_1",#N/A,FALSE,"Trend Form";"Regular_2",#N/A,FALSE,"Trend Form";"Disability_2",#N/A,FALSE,"Trend Form";"Detail_2",#N/A,FALSE,"Trend Form"}</definedName>
    <definedName name="wrn.Draft_COBRA_1_2." localSheetId="67" hidden="1">{"Regular_1",#N/A,FALSE,"Trend Form";"Disability_1",#N/A,FALSE,"Trend Form";"Detail_1",#N/A,FALSE,"Trend Form";"Regular_2",#N/A,FALSE,"Trend Form";"Disability_2",#N/A,FALSE,"Trend Form";"Detail_2",#N/A,FALSE,"Trend Form"}</definedName>
    <definedName name="wrn.Draft_COBRA_1_2." localSheetId="69" hidden="1">{"Regular_1",#N/A,FALSE,"Trend Form";"Disability_1",#N/A,FALSE,"Trend Form";"Detail_1",#N/A,FALSE,"Trend Form";"Regular_2",#N/A,FALSE,"Trend Form";"Disability_2",#N/A,FALSE,"Trend Form";"Detail_2",#N/A,FALSE,"Trend Form"}</definedName>
    <definedName name="wrn.Draft_COBRA_1_2." localSheetId="71" hidden="1">{"Regular_1",#N/A,FALSE,"Trend Form";"Disability_1",#N/A,FALSE,"Trend Form";"Detail_1",#N/A,FALSE,"Trend Form";"Regular_2",#N/A,FALSE,"Trend Form";"Disability_2",#N/A,FALSE,"Trend Form";"Detail_2",#N/A,FALSE,"Trend Form"}</definedName>
    <definedName name="wrn.Draft_COBRA_1_2." localSheetId="59" hidden="1">{"Regular_1",#N/A,FALSE,"Trend Form";"Disability_1",#N/A,FALSE,"Trend Form";"Detail_1",#N/A,FALSE,"Trend Form";"Regular_2",#N/A,FALSE,"Trend Form";"Disability_2",#N/A,FALSE,"Trend Form";"Detail_2",#N/A,FALSE,"Trend Form"}</definedName>
    <definedName name="wrn.Draft_COBRA_1_2." localSheetId="61" hidden="1">{"Regular_1",#N/A,FALSE,"Trend Form";"Disability_1",#N/A,FALSE,"Trend Form";"Detail_1",#N/A,FALSE,"Trend Form";"Regular_2",#N/A,FALSE,"Trend Form";"Disability_2",#N/A,FALSE,"Trend Form";"Detail_2",#N/A,FALSE,"Trend Form"}</definedName>
    <definedName name="wrn.Draft_COBRA_1_2." localSheetId="65" hidden="1">{"Regular_1",#N/A,FALSE,"Trend Form";"Disability_1",#N/A,FALSE,"Trend Form";"Detail_1",#N/A,FALSE,"Trend Form";"Regular_2",#N/A,FALSE,"Trend Form";"Disability_2",#N/A,FALSE,"Trend Form";"Detail_2",#N/A,FALSE,"Trend Form"}</definedName>
    <definedName name="wrn.Draft_COBRA_1_2." localSheetId="66" hidden="1">{"Regular_1",#N/A,FALSE,"Trend Form";"Disability_1",#N/A,FALSE,"Trend Form";"Detail_1",#N/A,FALSE,"Trend Form";"Regular_2",#N/A,FALSE,"Trend Form";"Disability_2",#N/A,FALSE,"Trend Form";"Detail_2",#N/A,FALSE,"Trend Form"}</definedName>
    <definedName name="wrn.Draft_COBRA_1_2." localSheetId="68" hidden="1">{"Regular_1",#N/A,FALSE,"Trend Form";"Disability_1",#N/A,FALSE,"Trend Form";"Detail_1",#N/A,FALSE,"Trend Form";"Regular_2",#N/A,FALSE,"Trend Form";"Disability_2",#N/A,FALSE,"Trend Form";"Detail_2",#N/A,FALSE,"Trend Form"}</definedName>
    <definedName name="wrn.Draft_COBRA_1_2." localSheetId="70" hidden="1">{"Regular_1",#N/A,FALSE,"Trend Form";"Disability_1",#N/A,FALSE,"Trend Form";"Detail_1",#N/A,FALSE,"Trend Form";"Regular_2",#N/A,FALSE,"Trend Form";"Disability_2",#N/A,FALSE,"Trend Form";"Detail_2",#N/A,FALSE,"Trend Form"}</definedName>
    <definedName name="wrn.Draft_COBRA_1_2." localSheetId="58" hidden="1">{"Regular_1",#N/A,FALSE,"Trend Form";"Disability_1",#N/A,FALSE,"Trend Form";"Detail_1",#N/A,FALSE,"Trend Form";"Regular_2",#N/A,FALSE,"Trend Form";"Disability_2",#N/A,FALSE,"Trend Form";"Detail_2",#N/A,FALSE,"Trend Form"}</definedName>
    <definedName name="wrn.Draft_COBRA_1_2." localSheetId="60" hidden="1">{"Regular_1",#N/A,FALSE,"Trend Form";"Disability_1",#N/A,FALSE,"Trend Form";"Detail_1",#N/A,FALSE,"Trend Form";"Regular_2",#N/A,FALSE,"Trend Form";"Disability_2",#N/A,FALSE,"Trend Form";"Detail_2",#N/A,FALSE,"Trend Form"}</definedName>
    <definedName name="wrn.Draft_COBRA_1_2." localSheetId="64" hidden="1">{"Regular_1",#N/A,FALSE,"Trend Form";"Disability_1",#N/A,FALSE,"Trend Form";"Detail_1",#N/A,FALSE,"Trend Form";"Regular_2",#N/A,FALSE,"Trend Form";"Disability_2",#N/A,FALSE,"Trend Form";"Detail_2",#N/A,FALSE,"Trend Form"}</definedName>
    <definedName name="wrn.Draft_COBRA_1_2." hidden="1">{"Regular_1",#N/A,FALSE,"Trend Form";"Disability_1",#N/A,FALSE,"Trend Form";"Detail_1",#N/A,FALSE,"Trend Form";"Regular_2",#N/A,FALSE,"Trend Form";"Disability_2",#N/A,FALSE,"Trend Form";"Detail_2",#N/A,FALSE,"Trend Form"}</definedName>
    <definedName name="wrn.Draft_COBRA_1_2_3." localSheetId="1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_4." localSheetId="1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Report." localSheetId="1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_All." localSheetId="1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Self." localSheetId="17" hidden="1">{"Self_Summary",#N/A,FALSE,"Trend Form";"Self_Detail_1",#N/A,FALSE,"Trend Form";"Self_Detail_2",#N/A,FALSE,"Trend Form";"Self_Detail_3",#N/A,FALSE,"Trend Form"}</definedName>
    <definedName name="wrn.Draft_Self." localSheetId="19" hidden="1">{"Self_Summary",#N/A,FALSE,"Trend Form";"Self_Detail_1",#N/A,FALSE,"Trend Form";"Self_Detail_2",#N/A,FALSE,"Trend Form";"Self_Detail_3",#N/A,FALSE,"Trend Form"}</definedName>
    <definedName name="wrn.Draft_Self." localSheetId="21" hidden="1">{"Self_Summary",#N/A,FALSE,"Trend Form";"Self_Detail_1",#N/A,FALSE,"Trend Form";"Self_Detail_2",#N/A,FALSE,"Trend Form";"Self_Detail_3",#N/A,FALSE,"Trend Form"}</definedName>
    <definedName name="wrn.Draft_Self." localSheetId="23" hidden="1">{"Self_Summary",#N/A,FALSE,"Trend Form";"Self_Detail_1",#N/A,FALSE,"Trend Form";"Self_Detail_2",#N/A,FALSE,"Trend Form";"Self_Detail_3",#N/A,FALSE,"Trend Form"}</definedName>
    <definedName name="wrn.Draft_Self." localSheetId="25" hidden="1">{"Self_Summary",#N/A,FALSE,"Trend Form";"Self_Detail_1",#N/A,FALSE,"Trend Form";"Self_Detail_2",#N/A,FALSE,"Trend Form";"Self_Detail_3",#N/A,FALSE,"Trend Form"}</definedName>
    <definedName name="wrn.Draft_Self." localSheetId="27" hidden="1">{"Self_Summary",#N/A,FALSE,"Trend Form";"Self_Detail_1",#N/A,FALSE,"Trend Form";"Self_Detail_2",#N/A,FALSE,"Trend Form";"Self_Detail_3",#N/A,FALSE,"Trend Form"}</definedName>
    <definedName name="wrn.Draft_Self." localSheetId="29" hidden="1">{"Self_Summary",#N/A,FALSE,"Trend Form";"Self_Detail_1",#N/A,FALSE,"Trend Form";"Self_Detail_2",#N/A,FALSE,"Trend Form";"Self_Detail_3",#N/A,FALSE,"Trend Form"}</definedName>
    <definedName name="wrn.Draft_Self." localSheetId="31" hidden="1">{"Self_Summary",#N/A,FALSE,"Trend Form";"Self_Detail_1",#N/A,FALSE,"Trend Form";"Self_Detail_2",#N/A,FALSE,"Trend Form";"Self_Detail_3",#N/A,FALSE,"Trend Form"}</definedName>
    <definedName name="wrn.Draft_Self." localSheetId="5" hidden="1">{"Self_Summary",#N/A,FALSE,"Trend Form";"Self_Detail_1",#N/A,FALSE,"Trend Form";"Self_Detail_2",#N/A,FALSE,"Trend Form";"Self_Detail_3",#N/A,FALSE,"Trend Form"}</definedName>
    <definedName name="wrn.Draft_Self." localSheetId="33" hidden="1">{"Self_Summary",#N/A,FALSE,"Trend Form";"Self_Detail_1",#N/A,FALSE,"Trend Form";"Self_Detail_2",#N/A,FALSE,"Trend Form";"Self_Detail_3",#N/A,FALSE,"Trend Form"}</definedName>
    <definedName name="wrn.Draft_Self." localSheetId="35" hidden="1">{"Self_Summary",#N/A,FALSE,"Trend Form";"Self_Detail_1",#N/A,FALSE,"Trend Form";"Self_Detail_2",#N/A,FALSE,"Trend Form";"Self_Detail_3",#N/A,FALSE,"Trend Form"}</definedName>
    <definedName name="wrn.Draft_Self." localSheetId="37" hidden="1">{"Self_Summary",#N/A,FALSE,"Trend Form";"Self_Detail_1",#N/A,FALSE,"Trend Form";"Self_Detail_2",#N/A,FALSE,"Trend Form";"Self_Detail_3",#N/A,FALSE,"Trend Form"}</definedName>
    <definedName name="wrn.Draft_Self." localSheetId="39" hidden="1">{"Self_Summary",#N/A,FALSE,"Trend Form";"Self_Detail_1",#N/A,FALSE,"Trend Form";"Self_Detail_2",#N/A,FALSE,"Trend Form";"Self_Detail_3",#N/A,FALSE,"Trend Form"}</definedName>
    <definedName name="wrn.Draft_Self." localSheetId="7" hidden="1">{"Self_Summary",#N/A,FALSE,"Trend Form";"Self_Detail_1",#N/A,FALSE,"Trend Form";"Self_Detail_2",#N/A,FALSE,"Trend Form";"Self_Detail_3",#N/A,FALSE,"Trend Form"}</definedName>
    <definedName name="wrn.Draft_Self." localSheetId="9" hidden="1">{"Self_Summary",#N/A,FALSE,"Trend Form";"Self_Detail_1",#N/A,FALSE,"Trend Form";"Self_Detail_2",#N/A,FALSE,"Trend Form";"Self_Detail_3",#N/A,FALSE,"Trend Form"}</definedName>
    <definedName name="wrn.Draft_Self." localSheetId="11" hidden="1">{"Self_Summary",#N/A,FALSE,"Trend Form";"Self_Detail_1",#N/A,FALSE,"Trend Form";"Self_Detail_2",#N/A,FALSE,"Trend Form";"Self_Detail_3",#N/A,FALSE,"Trend Form"}</definedName>
    <definedName name="wrn.Draft_Self." localSheetId="13" hidden="1">{"Self_Summary",#N/A,FALSE,"Trend Form";"Self_Detail_1",#N/A,FALSE,"Trend Form";"Self_Detail_2",#N/A,FALSE,"Trend Form";"Self_Detail_3",#N/A,FALSE,"Trend Form"}</definedName>
    <definedName name="wrn.Draft_Self." localSheetId="15" hidden="1">{"Self_Summary",#N/A,FALSE,"Trend Form";"Self_Detail_1",#N/A,FALSE,"Trend Form";"Self_Detail_2",#N/A,FALSE,"Trend Form";"Self_Detail_3",#N/A,FALSE,"Trend Form"}</definedName>
    <definedName name="wrn.Draft_Self." localSheetId="16" hidden="1">{"Self_Summary",#N/A,FALSE,"Trend Form";"Self_Detail_1",#N/A,FALSE,"Trend Form";"Self_Detail_2",#N/A,FALSE,"Trend Form";"Self_Detail_3",#N/A,FALSE,"Trend Form"}</definedName>
    <definedName name="wrn.Draft_Self." localSheetId="18" hidden="1">{"Self_Summary",#N/A,FALSE,"Trend Form";"Self_Detail_1",#N/A,FALSE,"Trend Form";"Self_Detail_2",#N/A,FALSE,"Trend Form";"Self_Detail_3",#N/A,FALSE,"Trend Form"}</definedName>
    <definedName name="wrn.Draft_Self." localSheetId="20" hidden="1">{"Self_Summary",#N/A,FALSE,"Trend Form";"Self_Detail_1",#N/A,FALSE,"Trend Form";"Self_Detail_2",#N/A,FALSE,"Trend Form";"Self_Detail_3",#N/A,FALSE,"Trend Form"}</definedName>
    <definedName name="wrn.Draft_Self." localSheetId="22" hidden="1">{"Self_Summary",#N/A,FALSE,"Trend Form";"Self_Detail_1",#N/A,FALSE,"Trend Form";"Self_Detail_2",#N/A,FALSE,"Trend Form";"Self_Detail_3",#N/A,FALSE,"Trend Form"}</definedName>
    <definedName name="wrn.Draft_Self." localSheetId="24" hidden="1">{"Self_Summary",#N/A,FALSE,"Trend Form";"Self_Detail_1",#N/A,FALSE,"Trend Form";"Self_Detail_2",#N/A,FALSE,"Trend Form";"Self_Detail_3",#N/A,FALSE,"Trend Form"}</definedName>
    <definedName name="wrn.Draft_Self." localSheetId="26" hidden="1">{"Self_Summary",#N/A,FALSE,"Trend Form";"Self_Detail_1",#N/A,FALSE,"Trend Form";"Self_Detail_2",#N/A,FALSE,"Trend Form";"Self_Detail_3",#N/A,FALSE,"Trend Form"}</definedName>
    <definedName name="wrn.Draft_Self." localSheetId="28" hidden="1">{"Self_Summary",#N/A,FALSE,"Trend Form";"Self_Detail_1",#N/A,FALSE,"Trend Form";"Self_Detail_2",#N/A,FALSE,"Trend Form";"Self_Detail_3",#N/A,FALSE,"Trend Form"}</definedName>
    <definedName name="wrn.Draft_Self." localSheetId="30" hidden="1">{"Self_Summary",#N/A,FALSE,"Trend Form";"Self_Detail_1",#N/A,FALSE,"Trend Form";"Self_Detail_2",#N/A,FALSE,"Trend Form";"Self_Detail_3",#N/A,FALSE,"Trend Form"}</definedName>
    <definedName name="wrn.Draft_Self." localSheetId="4" hidden="1">{"Self_Summary",#N/A,FALSE,"Trend Form";"Self_Detail_1",#N/A,FALSE,"Trend Form";"Self_Detail_2",#N/A,FALSE,"Trend Form";"Self_Detail_3",#N/A,FALSE,"Trend Form"}</definedName>
    <definedName name="wrn.Draft_Self." localSheetId="32" hidden="1">{"Self_Summary",#N/A,FALSE,"Trend Form";"Self_Detail_1",#N/A,FALSE,"Trend Form";"Self_Detail_2",#N/A,FALSE,"Trend Form";"Self_Detail_3",#N/A,FALSE,"Trend Form"}</definedName>
    <definedName name="wrn.Draft_Self." localSheetId="34" hidden="1">{"Self_Summary",#N/A,FALSE,"Trend Form";"Self_Detail_1",#N/A,FALSE,"Trend Form";"Self_Detail_2",#N/A,FALSE,"Trend Form";"Self_Detail_3",#N/A,FALSE,"Trend Form"}</definedName>
    <definedName name="wrn.Draft_Self." localSheetId="36" hidden="1">{"Self_Summary",#N/A,FALSE,"Trend Form";"Self_Detail_1",#N/A,FALSE,"Trend Form";"Self_Detail_2",#N/A,FALSE,"Trend Form";"Self_Detail_3",#N/A,FALSE,"Trend Form"}</definedName>
    <definedName name="wrn.Draft_Self." localSheetId="38" hidden="1">{"Self_Summary",#N/A,FALSE,"Trend Form";"Self_Detail_1",#N/A,FALSE,"Trend Form";"Self_Detail_2",#N/A,FALSE,"Trend Form";"Self_Detail_3",#N/A,FALSE,"Trend Form"}</definedName>
    <definedName name="wrn.Draft_Self." localSheetId="6" hidden="1">{"Self_Summary",#N/A,FALSE,"Trend Form";"Self_Detail_1",#N/A,FALSE,"Trend Form";"Self_Detail_2",#N/A,FALSE,"Trend Form";"Self_Detail_3",#N/A,FALSE,"Trend Form"}</definedName>
    <definedName name="wrn.Draft_Self." localSheetId="8" hidden="1">{"Self_Summary",#N/A,FALSE,"Trend Form";"Self_Detail_1",#N/A,FALSE,"Trend Form";"Self_Detail_2",#N/A,FALSE,"Trend Form";"Self_Detail_3",#N/A,FALSE,"Trend Form"}</definedName>
    <definedName name="wrn.Draft_Self." localSheetId="10" hidden="1">{"Self_Summary",#N/A,FALSE,"Trend Form";"Self_Detail_1",#N/A,FALSE,"Trend Form";"Self_Detail_2",#N/A,FALSE,"Trend Form";"Self_Detail_3",#N/A,FALSE,"Trend Form"}</definedName>
    <definedName name="wrn.Draft_Self." localSheetId="12" hidden="1">{"Self_Summary",#N/A,FALSE,"Trend Form";"Self_Detail_1",#N/A,FALSE,"Trend Form";"Self_Detail_2",#N/A,FALSE,"Trend Form";"Self_Detail_3",#N/A,FALSE,"Trend Form"}</definedName>
    <definedName name="wrn.Draft_Self." localSheetId="14" hidden="1">{"Self_Summary",#N/A,FALSE,"Trend Form";"Self_Detail_1",#N/A,FALSE,"Trend Form";"Self_Detail_2",#N/A,FALSE,"Trend Form";"Self_Detail_3",#N/A,FALSE,"Trend Form"}</definedName>
    <definedName name="wrn.Draft_Self." localSheetId="46" hidden="1">{"Self_Summary",#N/A,FALSE,"Trend Form";"Self_Detail_1",#N/A,FALSE,"Trend Form";"Self_Detail_2",#N/A,FALSE,"Trend Form";"Self_Detail_3",#N/A,FALSE,"Trend Form"}</definedName>
    <definedName name="wrn.Draft_Self." localSheetId="48" hidden="1">{"Self_Summary",#N/A,FALSE,"Trend Form";"Self_Detail_1",#N/A,FALSE,"Trend Form";"Self_Detail_2",#N/A,FALSE,"Trend Form";"Self_Detail_3",#N/A,FALSE,"Trend Form"}</definedName>
    <definedName name="wrn.Draft_Self." localSheetId="50" hidden="1">{"Self_Summary",#N/A,FALSE,"Trend Form";"Self_Detail_1",#N/A,FALSE,"Trend Form";"Self_Detail_2",#N/A,FALSE,"Trend Form";"Self_Detail_3",#N/A,FALSE,"Trend Form"}</definedName>
    <definedName name="wrn.Draft_Self." localSheetId="52" hidden="1">{"Self_Summary",#N/A,FALSE,"Trend Form";"Self_Detail_1",#N/A,FALSE,"Trend Form";"Self_Detail_2",#N/A,FALSE,"Trend Form";"Self_Detail_3",#N/A,FALSE,"Trend Form"}</definedName>
    <definedName name="wrn.Draft_Self." localSheetId="54" hidden="1">{"Self_Summary",#N/A,FALSE,"Trend Form";"Self_Detail_1",#N/A,FALSE,"Trend Form";"Self_Detail_2",#N/A,FALSE,"Trend Form";"Self_Detail_3",#N/A,FALSE,"Trend Form"}</definedName>
    <definedName name="wrn.Draft_Self." localSheetId="56" hidden="1">{"Self_Summary",#N/A,FALSE,"Trend Form";"Self_Detail_1",#N/A,FALSE,"Trend Form";"Self_Detail_2",#N/A,FALSE,"Trend Form";"Self_Detail_3",#N/A,FALSE,"Trend Form"}</definedName>
    <definedName name="wrn.Draft_Self." localSheetId="42" hidden="1">{"Self_Summary",#N/A,FALSE,"Trend Form";"Self_Detail_1",#N/A,FALSE,"Trend Form";"Self_Detail_2",#N/A,FALSE,"Trend Form";"Self_Detail_3",#N/A,FALSE,"Trend Form"}</definedName>
    <definedName name="wrn.Draft_Self." localSheetId="45" hidden="1">{"Self_Summary",#N/A,FALSE,"Trend Form";"Self_Detail_1",#N/A,FALSE,"Trend Form";"Self_Detail_2",#N/A,FALSE,"Trend Form";"Self_Detail_3",#N/A,FALSE,"Trend Form"}</definedName>
    <definedName name="wrn.Draft_Self." localSheetId="47" hidden="1">{"Self_Summary",#N/A,FALSE,"Trend Form";"Self_Detail_1",#N/A,FALSE,"Trend Form";"Self_Detail_2",#N/A,FALSE,"Trend Form";"Self_Detail_3",#N/A,FALSE,"Trend Form"}</definedName>
    <definedName name="wrn.Draft_Self." localSheetId="49" hidden="1">{"Self_Summary",#N/A,FALSE,"Trend Form";"Self_Detail_1",#N/A,FALSE,"Trend Form";"Self_Detail_2",#N/A,FALSE,"Trend Form";"Self_Detail_3",#N/A,FALSE,"Trend Form"}</definedName>
    <definedName name="wrn.Draft_Self." localSheetId="51" hidden="1">{"Self_Summary",#N/A,FALSE,"Trend Form";"Self_Detail_1",#N/A,FALSE,"Trend Form";"Self_Detail_2",#N/A,FALSE,"Trend Form";"Self_Detail_3",#N/A,FALSE,"Trend Form"}</definedName>
    <definedName name="wrn.Draft_Self." localSheetId="53" hidden="1">{"Self_Summary",#N/A,FALSE,"Trend Form";"Self_Detail_1",#N/A,FALSE,"Trend Form";"Self_Detail_2",#N/A,FALSE,"Trend Form";"Self_Detail_3",#N/A,FALSE,"Trend Form"}</definedName>
    <definedName name="wrn.Draft_Self." localSheetId="55" hidden="1">{"Self_Summary",#N/A,FALSE,"Trend Form";"Self_Detail_1",#N/A,FALSE,"Trend Form";"Self_Detail_2",#N/A,FALSE,"Trend Form";"Self_Detail_3",#N/A,FALSE,"Trend Form"}</definedName>
    <definedName name="wrn.Draft_Self." localSheetId="41" hidden="1">{"Self_Summary",#N/A,FALSE,"Trend Form";"Self_Detail_1",#N/A,FALSE,"Trend Form";"Self_Detail_2",#N/A,FALSE,"Trend Form";"Self_Detail_3",#N/A,FALSE,"Trend Form"}</definedName>
    <definedName name="wrn.Draft_Self." localSheetId="67" hidden="1">{"Self_Summary",#N/A,FALSE,"Trend Form";"Self_Detail_1",#N/A,FALSE,"Trend Form";"Self_Detail_2",#N/A,FALSE,"Trend Form";"Self_Detail_3",#N/A,FALSE,"Trend Form"}</definedName>
    <definedName name="wrn.Draft_Self." localSheetId="69" hidden="1">{"Self_Summary",#N/A,FALSE,"Trend Form";"Self_Detail_1",#N/A,FALSE,"Trend Form";"Self_Detail_2",#N/A,FALSE,"Trend Form";"Self_Detail_3",#N/A,FALSE,"Trend Form"}</definedName>
    <definedName name="wrn.Draft_Self." localSheetId="71" hidden="1">{"Self_Summary",#N/A,FALSE,"Trend Form";"Self_Detail_1",#N/A,FALSE,"Trend Form";"Self_Detail_2",#N/A,FALSE,"Trend Form";"Self_Detail_3",#N/A,FALSE,"Trend Form"}</definedName>
    <definedName name="wrn.Draft_Self." localSheetId="59" hidden="1">{"Self_Summary",#N/A,FALSE,"Trend Form";"Self_Detail_1",#N/A,FALSE,"Trend Form";"Self_Detail_2",#N/A,FALSE,"Trend Form";"Self_Detail_3",#N/A,FALSE,"Trend Form"}</definedName>
    <definedName name="wrn.Draft_Self." localSheetId="61" hidden="1">{"Self_Summary",#N/A,FALSE,"Trend Form";"Self_Detail_1",#N/A,FALSE,"Trend Form";"Self_Detail_2",#N/A,FALSE,"Trend Form";"Self_Detail_3",#N/A,FALSE,"Trend Form"}</definedName>
    <definedName name="wrn.Draft_Self." localSheetId="65" hidden="1">{"Self_Summary",#N/A,FALSE,"Trend Form";"Self_Detail_1",#N/A,FALSE,"Trend Form";"Self_Detail_2",#N/A,FALSE,"Trend Form";"Self_Detail_3",#N/A,FALSE,"Trend Form"}</definedName>
    <definedName name="wrn.Draft_Self." localSheetId="66" hidden="1">{"Self_Summary",#N/A,FALSE,"Trend Form";"Self_Detail_1",#N/A,FALSE,"Trend Form";"Self_Detail_2",#N/A,FALSE,"Trend Form";"Self_Detail_3",#N/A,FALSE,"Trend Form"}</definedName>
    <definedName name="wrn.Draft_Self." localSheetId="68" hidden="1">{"Self_Summary",#N/A,FALSE,"Trend Form";"Self_Detail_1",#N/A,FALSE,"Trend Form";"Self_Detail_2",#N/A,FALSE,"Trend Form";"Self_Detail_3",#N/A,FALSE,"Trend Form"}</definedName>
    <definedName name="wrn.Draft_Self." localSheetId="70" hidden="1">{"Self_Summary",#N/A,FALSE,"Trend Form";"Self_Detail_1",#N/A,FALSE,"Trend Form";"Self_Detail_2",#N/A,FALSE,"Trend Form";"Self_Detail_3",#N/A,FALSE,"Trend Form"}</definedName>
    <definedName name="wrn.Draft_Self." localSheetId="58" hidden="1">{"Self_Summary",#N/A,FALSE,"Trend Form";"Self_Detail_1",#N/A,FALSE,"Trend Form";"Self_Detail_2",#N/A,FALSE,"Trend Form";"Self_Detail_3",#N/A,FALSE,"Trend Form"}</definedName>
    <definedName name="wrn.Draft_Self." localSheetId="60" hidden="1">{"Self_Summary",#N/A,FALSE,"Trend Form";"Self_Detail_1",#N/A,FALSE,"Trend Form";"Self_Detail_2",#N/A,FALSE,"Trend Form";"Self_Detail_3",#N/A,FALSE,"Trend Form"}</definedName>
    <definedName name="wrn.Draft_Self." localSheetId="64" hidden="1">{"Self_Summary",#N/A,FALSE,"Trend Form";"Self_Detail_1",#N/A,FALSE,"Trend Form";"Self_Detail_2",#N/A,FALSE,"Trend Form";"Self_Detail_3",#N/A,FALSE,"Trend Form"}</definedName>
    <definedName name="wrn.Draft_Self." hidden="1">{"Self_Summary",#N/A,FALSE,"Trend Form";"Self_Detail_1",#N/A,FALSE,"Trend Form";"Self_Detail_2",#N/A,FALSE,"Trend Form";"Self_Detail_3",#N/A,FALSE,"Trend Form"}</definedName>
    <definedName name="wrn.Print._.Me." localSheetId="1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rates." localSheetId="17" hidden="1">{"rates",#N/A,FALSE,"Summary"}</definedName>
    <definedName name="wrn.rates." localSheetId="19" hidden="1">{"rates",#N/A,FALSE,"Summary"}</definedName>
    <definedName name="wrn.rates." localSheetId="21" hidden="1">{"rates",#N/A,FALSE,"Summary"}</definedName>
    <definedName name="wrn.rates." localSheetId="23" hidden="1">{"rates",#N/A,FALSE,"Summary"}</definedName>
    <definedName name="wrn.rates." localSheetId="25" hidden="1">{"rates",#N/A,FALSE,"Summary"}</definedName>
    <definedName name="wrn.rates." localSheetId="27" hidden="1">{"rates",#N/A,FALSE,"Summary"}</definedName>
    <definedName name="wrn.rates." localSheetId="29" hidden="1">{"rates",#N/A,FALSE,"Summary"}</definedName>
    <definedName name="wrn.rates." localSheetId="31" hidden="1">{"rates",#N/A,FALSE,"Summary"}</definedName>
    <definedName name="wrn.rates." localSheetId="5" hidden="1">{"rates",#N/A,FALSE,"Summary"}</definedName>
    <definedName name="wrn.rates." localSheetId="33" hidden="1">{"rates",#N/A,FALSE,"Summary"}</definedName>
    <definedName name="wrn.rates." localSheetId="35" hidden="1">{"rates",#N/A,FALSE,"Summary"}</definedName>
    <definedName name="wrn.rates." localSheetId="37" hidden="1">{"rates",#N/A,FALSE,"Summary"}</definedName>
    <definedName name="wrn.rates." localSheetId="39" hidden="1">{"rates",#N/A,FALSE,"Summary"}</definedName>
    <definedName name="wrn.rates." localSheetId="7" hidden="1">{"rates",#N/A,FALSE,"Summary"}</definedName>
    <definedName name="wrn.rates." localSheetId="9" hidden="1">{"rates",#N/A,FALSE,"Summary"}</definedName>
    <definedName name="wrn.rates." localSheetId="11" hidden="1">{"rates",#N/A,FALSE,"Summary"}</definedName>
    <definedName name="wrn.rates." localSheetId="13" hidden="1">{"rates",#N/A,FALSE,"Summary"}</definedName>
    <definedName name="wrn.rates." localSheetId="15" hidden="1">{"rates",#N/A,FALSE,"Summary"}</definedName>
    <definedName name="wrn.rates." localSheetId="16" hidden="1">{"rates",#N/A,FALSE,"Summary"}</definedName>
    <definedName name="wrn.rates." localSheetId="18" hidden="1">{"rates",#N/A,FALSE,"Summary"}</definedName>
    <definedName name="wrn.rates." localSheetId="20" hidden="1">{"rates",#N/A,FALSE,"Summary"}</definedName>
    <definedName name="wrn.rates." localSheetId="22" hidden="1">{"rates",#N/A,FALSE,"Summary"}</definedName>
    <definedName name="wrn.rates." localSheetId="24" hidden="1">{"rates",#N/A,FALSE,"Summary"}</definedName>
    <definedName name="wrn.rates." localSheetId="26" hidden="1">{"rates",#N/A,FALSE,"Summary"}</definedName>
    <definedName name="wrn.rates." localSheetId="28" hidden="1">{"rates",#N/A,FALSE,"Summary"}</definedName>
    <definedName name="wrn.rates." localSheetId="30" hidden="1">{"rates",#N/A,FALSE,"Summary"}</definedName>
    <definedName name="wrn.rates." localSheetId="4" hidden="1">{"rates",#N/A,FALSE,"Summary"}</definedName>
    <definedName name="wrn.rates." localSheetId="32" hidden="1">{"rates",#N/A,FALSE,"Summary"}</definedName>
    <definedName name="wrn.rates." localSheetId="34" hidden="1">{"rates",#N/A,FALSE,"Summary"}</definedName>
    <definedName name="wrn.rates." localSheetId="36" hidden="1">{"rates",#N/A,FALSE,"Summary"}</definedName>
    <definedName name="wrn.rates." localSheetId="38" hidden="1">{"rates",#N/A,FALSE,"Summary"}</definedName>
    <definedName name="wrn.rates." localSheetId="6" hidden="1">{"rates",#N/A,FALSE,"Summary"}</definedName>
    <definedName name="wrn.rates." localSheetId="8" hidden="1">{"rates",#N/A,FALSE,"Summary"}</definedName>
    <definedName name="wrn.rates." localSheetId="10" hidden="1">{"rates",#N/A,FALSE,"Summary"}</definedName>
    <definedName name="wrn.rates." localSheetId="12" hidden="1">{"rates",#N/A,FALSE,"Summary"}</definedName>
    <definedName name="wrn.rates." localSheetId="14" hidden="1">{"rates",#N/A,FALSE,"Summary"}</definedName>
    <definedName name="wrn.rates." localSheetId="46" hidden="1">{"rates",#N/A,FALSE,"Summary"}</definedName>
    <definedName name="wrn.rates." localSheetId="48" hidden="1">{"rates",#N/A,FALSE,"Summary"}</definedName>
    <definedName name="wrn.rates." localSheetId="50" hidden="1">{"rates",#N/A,FALSE,"Summary"}</definedName>
    <definedName name="wrn.rates." localSheetId="52" hidden="1">{"rates",#N/A,FALSE,"Summary"}</definedName>
    <definedName name="wrn.rates." localSheetId="54" hidden="1">{"rates",#N/A,FALSE,"Summary"}</definedName>
    <definedName name="wrn.rates." localSheetId="56" hidden="1">{"rates",#N/A,FALSE,"Summary"}</definedName>
    <definedName name="wrn.rates." localSheetId="42" hidden="1">{"rates",#N/A,FALSE,"Summary"}</definedName>
    <definedName name="wrn.rates." localSheetId="45" hidden="1">{"rates",#N/A,FALSE,"Summary"}</definedName>
    <definedName name="wrn.rates." localSheetId="47" hidden="1">{"rates",#N/A,FALSE,"Summary"}</definedName>
    <definedName name="wrn.rates." localSheetId="49" hidden="1">{"rates",#N/A,FALSE,"Summary"}</definedName>
    <definedName name="wrn.rates." localSheetId="51" hidden="1">{"rates",#N/A,FALSE,"Summary"}</definedName>
    <definedName name="wrn.rates." localSheetId="53" hidden="1">{"rates",#N/A,FALSE,"Summary"}</definedName>
    <definedName name="wrn.rates." localSheetId="55" hidden="1">{"rates",#N/A,FALSE,"Summary"}</definedName>
    <definedName name="wrn.rates." localSheetId="41" hidden="1">{"rates",#N/A,FALSE,"Summary"}</definedName>
    <definedName name="wrn.rates." localSheetId="67" hidden="1">{"rates",#N/A,FALSE,"Summary"}</definedName>
    <definedName name="wrn.rates." localSheetId="69" hidden="1">{"rates",#N/A,FALSE,"Summary"}</definedName>
    <definedName name="wrn.rates." localSheetId="71" hidden="1">{"rates",#N/A,FALSE,"Summary"}</definedName>
    <definedName name="wrn.rates." localSheetId="59" hidden="1">{"rates",#N/A,FALSE,"Summary"}</definedName>
    <definedName name="wrn.rates." localSheetId="61" hidden="1">{"rates",#N/A,FALSE,"Summary"}</definedName>
    <definedName name="wrn.rates." localSheetId="65" hidden="1">{"rates",#N/A,FALSE,"Summary"}</definedName>
    <definedName name="wrn.rates." localSheetId="66" hidden="1">{"rates",#N/A,FALSE,"Summary"}</definedName>
    <definedName name="wrn.rates." localSheetId="68" hidden="1">{"rates",#N/A,FALSE,"Summary"}</definedName>
    <definedName name="wrn.rates." localSheetId="70" hidden="1">{"rates",#N/A,FALSE,"Summary"}</definedName>
    <definedName name="wrn.rates." localSheetId="58" hidden="1">{"rates",#N/A,FALSE,"Summary"}</definedName>
    <definedName name="wrn.rates." localSheetId="60" hidden="1">{"rates",#N/A,FALSE,"Summary"}</definedName>
    <definedName name="wrn.rates." localSheetId="64" hidden="1">{"rates",#N/A,FALSE,"Summary"}</definedName>
    <definedName name="wrn.rates." hidden="1">{"rates",#N/A,FALSE,"Summary"}</definedName>
    <definedName name="wrn.Section._.2._.Non._.Medical." localSheetId="1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ummary." localSheetId="17" hidden="1">{#N/A,#N/A,FALSE,"Sheet1";#N/A,#N/A,FALSE,"Page1";#N/A,#N/A,FALSE,"Page2"}</definedName>
    <definedName name="wrn.Summary." localSheetId="19" hidden="1">{#N/A,#N/A,FALSE,"Sheet1";#N/A,#N/A,FALSE,"Page1";#N/A,#N/A,FALSE,"Page2"}</definedName>
    <definedName name="wrn.Summary." localSheetId="21" hidden="1">{#N/A,#N/A,FALSE,"Sheet1";#N/A,#N/A,FALSE,"Page1";#N/A,#N/A,FALSE,"Page2"}</definedName>
    <definedName name="wrn.Summary." localSheetId="23" hidden="1">{#N/A,#N/A,FALSE,"Sheet1";#N/A,#N/A,FALSE,"Page1";#N/A,#N/A,FALSE,"Page2"}</definedName>
    <definedName name="wrn.Summary." localSheetId="25" hidden="1">{#N/A,#N/A,FALSE,"Sheet1";#N/A,#N/A,FALSE,"Page1";#N/A,#N/A,FALSE,"Page2"}</definedName>
    <definedName name="wrn.Summary." localSheetId="27" hidden="1">{#N/A,#N/A,FALSE,"Sheet1";#N/A,#N/A,FALSE,"Page1";#N/A,#N/A,FALSE,"Page2"}</definedName>
    <definedName name="wrn.Summary." localSheetId="29" hidden="1">{#N/A,#N/A,FALSE,"Sheet1";#N/A,#N/A,FALSE,"Page1";#N/A,#N/A,FALSE,"Page2"}</definedName>
    <definedName name="wrn.Summary." localSheetId="31" hidden="1">{#N/A,#N/A,FALSE,"Sheet1";#N/A,#N/A,FALSE,"Page1";#N/A,#N/A,FALSE,"Page2"}</definedName>
    <definedName name="wrn.Summary." localSheetId="5" hidden="1">{#N/A,#N/A,FALSE,"Sheet1";#N/A,#N/A,FALSE,"Page1";#N/A,#N/A,FALSE,"Page2"}</definedName>
    <definedName name="wrn.Summary." localSheetId="33" hidden="1">{#N/A,#N/A,FALSE,"Sheet1";#N/A,#N/A,FALSE,"Page1";#N/A,#N/A,FALSE,"Page2"}</definedName>
    <definedName name="wrn.Summary." localSheetId="35" hidden="1">{#N/A,#N/A,FALSE,"Sheet1";#N/A,#N/A,FALSE,"Page1";#N/A,#N/A,FALSE,"Page2"}</definedName>
    <definedName name="wrn.Summary." localSheetId="37" hidden="1">{#N/A,#N/A,FALSE,"Sheet1";#N/A,#N/A,FALSE,"Page1";#N/A,#N/A,FALSE,"Page2"}</definedName>
    <definedName name="wrn.Summary." localSheetId="39" hidden="1">{#N/A,#N/A,FALSE,"Sheet1";#N/A,#N/A,FALSE,"Page1";#N/A,#N/A,FALSE,"Page2"}</definedName>
    <definedName name="wrn.Summary." localSheetId="7" hidden="1">{#N/A,#N/A,FALSE,"Sheet1";#N/A,#N/A,FALSE,"Page1";#N/A,#N/A,FALSE,"Page2"}</definedName>
    <definedName name="wrn.Summary." localSheetId="9" hidden="1">{#N/A,#N/A,FALSE,"Sheet1";#N/A,#N/A,FALSE,"Page1";#N/A,#N/A,FALSE,"Page2"}</definedName>
    <definedName name="wrn.Summary." localSheetId="11" hidden="1">{#N/A,#N/A,FALSE,"Sheet1";#N/A,#N/A,FALSE,"Page1";#N/A,#N/A,FALSE,"Page2"}</definedName>
    <definedName name="wrn.Summary." localSheetId="13" hidden="1">{#N/A,#N/A,FALSE,"Sheet1";#N/A,#N/A,FALSE,"Page1";#N/A,#N/A,FALSE,"Page2"}</definedName>
    <definedName name="wrn.Summary." localSheetId="15" hidden="1">{#N/A,#N/A,FALSE,"Sheet1";#N/A,#N/A,FALSE,"Page1";#N/A,#N/A,FALSE,"Page2"}</definedName>
    <definedName name="wrn.Summary." localSheetId="16" hidden="1">{#N/A,#N/A,FALSE,"Sheet1";#N/A,#N/A,FALSE,"Page1";#N/A,#N/A,FALSE,"Page2"}</definedName>
    <definedName name="wrn.Summary." localSheetId="18" hidden="1">{#N/A,#N/A,FALSE,"Sheet1";#N/A,#N/A,FALSE,"Page1";#N/A,#N/A,FALSE,"Page2"}</definedName>
    <definedName name="wrn.Summary." localSheetId="20" hidden="1">{#N/A,#N/A,FALSE,"Sheet1";#N/A,#N/A,FALSE,"Page1";#N/A,#N/A,FALSE,"Page2"}</definedName>
    <definedName name="wrn.Summary." localSheetId="22" hidden="1">{#N/A,#N/A,FALSE,"Sheet1";#N/A,#N/A,FALSE,"Page1";#N/A,#N/A,FALSE,"Page2"}</definedName>
    <definedName name="wrn.Summary." localSheetId="24" hidden="1">{#N/A,#N/A,FALSE,"Sheet1";#N/A,#N/A,FALSE,"Page1";#N/A,#N/A,FALSE,"Page2"}</definedName>
    <definedName name="wrn.Summary." localSheetId="26" hidden="1">{#N/A,#N/A,FALSE,"Sheet1";#N/A,#N/A,FALSE,"Page1";#N/A,#N/A,FALSE,"Page2"}</definedName>
    <definedName name="wrn.Summary." localSheetId="28" hidden="1">{#N/A,#N/A,FALSE,"Sheet1";#N/A,#N/A,FALSE,"Page1";#N/A,#N/A,FALSE,"Page2"}</definedName>
    <definedName name="wrn.Summary." localSheetId="30" hidden="1">{#N/A,#N/A,FALSE,"Sheet1";#N/A,#N/A,FALSE,"Page1";#N/A,#N/A,FALSE,"Page2"}</definedName>
    <definedName name="wrn.Summary." localSheetId="4" hidden="1">{#N/A,#N/A,FALSE,"Sheet1";#N/A,#N/A,FALSE,"Page1";#N/A,#N/A,FALSE,"Page2"}</definedName>
    <definedName name="wrn.Summary." localSheetId="32" hidden="1">{#N/A,#N/A,FALSE,"Sheet1";#N/A,#N/A,FALSE,"Page1";#N/A,#N/A,FALSE,"Page2"}</definedName>
    <definedName name="wrn.Summary." localSheetId="34" hidden="1">{#N/A,#N/A,FALSE,"Sheet1";#N/A,#N/A,FALSE,"Page1";#N/A,#N/A,FALSE,"Page2"}</definedName>
    <definedName name="wrn.Summary." localSheetId="36" hidden="1">{#N/A,#N/A,FALSE,"Sheet1";#N/A,#N/A,FALSE,"Page1";#N/A,#N/A,FALSE,"Page2"}</definedName>
    <definedName name="wrn.Summary." localSheetId="38" hidden="1">{#N/A,#N/A,FALSE,"Sheet1";#N/A,#N/A,FALSE,"Page1";#N/A,#N/A,FALSE,"Page2"}</definedName>
    <definedName name="wrn.Summary." localSheetId="6" hidden="1">{#N/A,#N/A,FALSE,"Sheet1";#N/A,#N/A,FALSE,"Page1";#N/A,#N/A,FALSE,"Page2"}</definedName>
    <definedName name="wrn.Summary." localSheetId="8" hidden="1">{#N/A,#N/A,FALSE,"Sheet1";#N/A,#N/A,FALSE,"Page1";#N/A,#N/A,FALSE,"Page2"}</definedName>
    <definedName name="wrn.Summary." localSheetId="10" hidden="1">{#N/A,#N/A,FALSE,"Sheet1";#N/A,#N/A,FALSE,"Page1";#N/A,#N/A,FALSE,"Page2"}</definedName>
    <definedName name="wrn.Summary." localSheetId="12" hidden="1">{#N/A,#N/A,FALSE,"Sheet1";#N/A,#N/A,FALSE,"Page1";#N/A,#N/A,FALSE,"Page2"}</definedName>
    <definedName name="wrn.Summary." localSheetId="14" hidden="1">{#N/A,#N/A,FALSE,"Sheet1";#N/A,#N/A,FALSE,"Page1";#N/A,#N/A,FALSE,"Page2"}</definedName>
    <definedName name="wrn.Summary." localSheetId="46" hidden="1">{#N/A,#N/A,FALSE,"Sheet1";#N/A,#N/A,FALSE,"Page1";#N/A,#N/A,FALSE,"Page2"}</definedName>
    <definedName name="wrn.Summary." localSheetId="48" hidden="1">{#N/A,#N/A,FALSE,"Sheet1";#N/A,#N/A,FALSE,"Page1";#N/A,#N/A,FALSE,"Page2"}</definedName>
    <definedName name="wrn.Summary." localSheetId="50" hidden="1">{#N/A,#N/A,FALSE,"Sheet1";#N/A,#N/A,FALSE,"Page1";#N/A,#N/A,FALSE,"Page2"}</definedName>
    <definedName name="wrn.Summary." localSheetId="52" hidden="1">{#N/A,#N/A,FALSE,"Sheet1";#N/A,#N/A,FALSE,"Page1";#N/A,#N/A,FALSE,"Page2"}</definedName>
    <definedName name="wrn.Summary." localSheetId="54" hidden="1">{#N/A,#N/A,FALSE,"Sheet1";#N/A,#N/A,FALSE,"Page1";#N/A,#N/A,FALSE,"Page2"}</definedName>
    <definedName name="wrn.Summary." localSheetId="56" hidden="1">{#N/A,#N/A,FALSE,"Sheet1";#N/A,#N/A,FALSE,"Page1";#N/A,#N/A,FALSE,"Page2"}</definedName>
    <definedName name="wrn.Summary." localSheetId="42" hidden="1">{#N/A,#N/A,FALSE,"Sheet1";#N/A,#N/A,FALSE,"Page1";#N/A,#N/A,FALSE,"Page2"}</definedName>
    <definedName name="wrn.Summary." localSheetId="45" hidden="1">{#N/A,#N/A,FALSE,"Sheet1";#N/A,#N/A,FALSE,"Page1";#N/A,#N/A,FALSE,"Page2"}</definedName>
    <definedName name="wrn.Summary." localSheetId="47" hidden="1">{#N/A,#N/A,FALSE,"Sheet1";#N/A,#N/A,FALSE,"Page1";#N/A,#N/A,FALSE,"Page2"}</definedName>
    <definedName name="wrn.Summary." localSheetId="49" hidden="1">{#N/A,#N/A,FALSE,"Sheet1";#N/A,#N/A,FALSE,"Page1";#N/A,#N/A,FALSE,"Page2"}</definedName>
    <definedName name="wrn.Summary." localSheetId="51" hidden="1">{#N/A,#N/A,FALSE,"Sheet1";#N/A,#N/A,FALSE,"Page1";#N/A,#N/A,FALSE,"Page2"}</definedName>
    <definedName name="wrn.Summary." localSheetId="53" hidden="1">{#N/A,#N/A,FALSE,"Sheet1";#N/A,#N/A,FALSE,"Page1";#N/A,#N/A,FALSE,"Page2"}</definedName>
    <definedName name="wrn.Summary." localSheetId="55" hidden="1">{#N/A,#N/A,FALSE,"Sheet1";#N/A,#N/A,FALSE,"Page1";#N/A,#N/A,FALSE,"Page2"}</definedName>
    <definedName name="wrn.Summary." localSheetId="41" hidden="1">{#N/A,#N/A,FALSE,"Sheet1";#N/A,#N/A,FALSE,"Page1";#N/A,#N/A,FALSE,"Page2"}</definedName>
    <definedName name="wrn.Summary." localSheetId="67" hidden="1">{#N/A,#N/A,FALSE,"Sheet1";#N/A,#N/A,FALSE,"Page1";#N/A,#N/A,FALSE,"Page2"}</definedName>
    <definedName name="wrn.Summary." localSheetId="69" hidden="1">{#N/A,#N/A,FALSE,"Sheet1";#N/A,#N/A,FALSE,"Page1";#N/A,#N/A,FALSE,"Page2"}</definedName>
    <definedName name="wrn.Summary." localSheetId="71" hidden="1">{#N/A,#N/A,FALSE,"Sheet1";#N/A,#N/A,FALSE,"Page1";#N/A,#N/A,FALSE,"Page2"}</definedName>
    <definedName name="wrn.Summary." localSheetId="59" hidden="1">{#N/A,#N/A,FALSE,"Sheet1";#N/A,#N/A,FALSE,"Page1";#N/A,#N/A,FALSE,"Page2"}</definedName>
    <definedName name="wrn.Summary." localSheetId="61" hidden="1">{#N/A,#N/A,FALSE,"Sheet1";#N/A,#N/A,FALSE,"Page1";#N/A,#N/A,FALSE,"Page2"}</definedName>
    <definedName name="wrn.Summary." localSheetId="65" hidden="1">{#N/A,#N/A,FALSE,"Sheet1";#N/A,#N/A,FALSE,"Page1";#N/A,#N/A,FALSE,"Page2"}</definedName>
    <definedName name="wrn.Summary." localSheetId="66" hidden="1">{#N/A,#N/A,FALSE,"Sheet1";#N/A,#N/A,FALSE,"Page1";#N/A,#N/A,FALSE,"Page2"}</definedName>
    <definedName name="wrn.Summary." localSheetId="68" hidden="1">{#N/A,#N/A,FALSE,"Sheet1";#N/A,#N/A,FALSE,"Page1";#N/A,#N/A,FALSE,"Page2"}</definedName>
    <definedName name="wrn.Summary." localSheetId="70" hidden="1">{#N/A,#N/A,FALSE,"Sheet1";#N/A,#N/A,FALSE,"Page1";#N/A,#N/A,FALSE,"Page2"}</definedName>
    <definedName name="wrn.Summary." localSheetId="58" hidden="1">{#N/A,#N/A,FALSE,"Sheet1";#N/A,#N/A,FALSE,"Page1";#N/A,#N/A,FALSE,"Page2"}</definedName>
    <definedName name="wrn.Summary." localSheetId="60" hidden="1">{#N/A,#N/A,FALSE,"Sheet1";#N/A,#N/A,FALSE,"Page1";#N/A,#N/A,FALSE,"Page2"}</definedName>
    <definedName name="wrn.Summary." localSheetId="64" hidden="1">{#N/A,#N/A,FALSE,"Sheet1";#N/A,#N/A,FALSE,"Page1";#N/A,#N/A,FALSE,"Page2"}</definedName>
    <definedName name="wrn.Summary." hidden="1">{#N/A,#N/A,FALSE,"Sheet1";#N/A,#N/A,FALSE,"Page1";#N/A,#N/A,FALSE,"Page2"}</definedName>
  </definedNames>
  <calcPr calcId="191029"/>
  <pivotCaches>
    <pivotCache cacheId="0" r:id="rId7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1" i="72" l="1"/>
  <c r="L31" i="72"/>
  <c r="O31" i="72"/>
  <c r="P31" i="72"/>
  <c r="K32" i="72"/>
  <c r="L32" i="72"/>
  <c r="O32" i="72"/>
  <c r="P32" i="72"/>
  <c r="O33" i="72"/>
  <c r="P33" i="72"/>
  <c r="Q34" i="72"/>
  <c r="O39" i="72"/>
  <c r="P39" i="72"/>
  <c r="O40" i="72"/>
  <c r="P40" i="72"/>
  <c r="K53" i="72"/>
  <c r="L53" i="72"/>
  <c r="O53" i="72"/>
  <c r="P53" i="72"/>
  <c r="K54" i="72"/>
  <c r="L54" i="72"/>
  <c r="O54" i="72"/>
  <c r="P54" i="72"/>
  <c r="O55" i="72"/>
  <c r="Q55" i="72" s="1"/>
  <c r="Q59" i="72" s="1"/>
  <c r="P55" i="72"/>
  <c r="Q56" i="72"/>
  <c r="Q57" i="72"/>
  <c r="Q58" i="72"/>
  <c r="O65" i="72"/>
  <c r="P65" i="72"/>
  <c r="O66" i="72"/>
  <c r="P66" i="72"/>
  <c r="C12" i="71"/>
  <c r="K27" i="71"/>
  <c r="L27" i="71"/>
  <c r="K28" i="71"/>
  <c r="L28" i="71"/>
  <c r="K29" i="71"/>
  <c r="L29" i="71"/>
  <c r="K30" i="71"/>
  <c r="L30" i="71"/>
  <c r="L31" i="71" s="1"/>
  <c r="L34" i="71" s="1"/>
  <c r="K31" i="71"/>
  <c r="K34" i="71" s="1"/>
  <c r="K35" i="71" s="1"/>
  <c r="K36" i="71" s="1"/>
  <c r="K38" i="71" s="1"/>
  <c r="K32" i="71"/>
  <c r="L32" i="71"/>
  <c r="K33" i="71"/>
  <c r="L33" i="71"/>
  <c r="K37" i="71"/>
  <c r="K41" i="71"/>
  <c r="K42" i="71"/>
  <c r="K43" i="71"/>
  <c r="K48" i="71"/>
  <c r="L48" i="71"/>
  <c r="M48" i="71"/>
  <c r="K49" i="71"/>
  <c r="L49" i="71"/>
  <c r="M49" i="71"/>
  <c r="K50" i="71"/>
  <c r="L50" i="71"/>
  <c r="M50" i="71"/>
  <c r="K51" i="71"/>
  <c r="L51" i="71"/>
  <c r="M51" i="71"/>
  <c r="K52" i="71"/>
  <c r="L52" i="71"/>
  <c r="M52" i="71"/>
  <c r="L53" i="71"/>
  <c r="L59" i="71" s="1"/>
  <c r="M53" i="71"/>
  <c r="M59" i="71" s="1"/>
  <c r="K60" i="71"/>
  <c r="L60" i="71"/>
  <c r="M60" i="71"/>
  <c r="K61" i="71"/>
  <c r="L61" i="71"/>
  <c r="M61" i="71"/>
  <c r="K25" i="70"/>
  <c r="L25" i="70"/>
  <c r="J26" i="70"/>
  <c r="K26" i="70"/>
  <c r="L26" i="70"/>
  <c r="J27" i="70"/>
  <c r="K27" i="70"/>
  <c r="L27" i="70"/>
  <c r="J28" i="70"/>
  <c r="K28" i="70"/>
  <c r="L28" i="70"/>
  <c r="J29" i="70"/>
  <c r="K29" i="70"/>
  <c r="L29" i="70"/>
  <c r="K30" i="70"/>
  <c r="L30" i="70"/>
  <c r="J31" i="70"/>
  <c r="K31" i="70"/>
  <c r="L31" i="70"/>
  <c r="J32" i="70"/>
  <c r="K32" i="70"/>
  <c r="L32" i="70"/>
  <c r="K33" i="70"/>
  <c r="L33" i="70"/>
  <c r="J35" i="70"/>
  <c r="L37" i="70" s="1"/>
  <c r="L44" i="70" s="1"/>
  <c r="K35" i="70"/>
  <c r="L35" i="70"/>
  <c r="D36" i="70"/>
  <c r="E36" i="70"/>
  <c r="F36" i="70"/>
  <c r="J36" i="70"/>
  <c r="K36" i="70"/>
  <c r="L36" i="70"/>
  <c r="K37" i="70"/>
  <c r="K44" i="70" s="1"/>
  <c r="J44" i="70" s="1"/>
  <c r="K40" i="70"/>
  <c r="L40" i="70"/>
  <c r="J41" i="70"/>
  <c r="K41" i="70"/>
  <c r="L41" i="70"/>
  <c r="L42" i="70" s="1"/>
  <c r="L43" i="70" s="1"/>
  <c r="L45" i="70" s="1"/>
  <c r="L46" i="70" s="1"/>
  <c r="K42" i="70"/>
  <c r="J42" i="70" s="1"/>
  <c r="J43" i="70" s="1"/>
  <c r="K43" i="70"/>
  <c r="C19" i="69"/>
  <c r="J28" i="69"/>
  <c r="K28" i="69"/>
  <c r="J29" i="69"/>
  <c r="K29" i="69"/>
  <c r="J30" i="69"/>
  <c r="K30" i="69"/>
  <c r="K32" i="69"/>
  <c r="I36" i="69"/>
  <c r="I37" i="69"/>
  <c r="I38" i="69"/>
  <c r="I39" i="69"/>
  <c r="I40" i="69"/>
  <c r="K42" i="69"/>
  <c r="I27" i="68"/>
  <c r="J27" i="68"/>
  <c r="I28" i="68"/>
  <c r="J28" i="68"/>
  <c r="I29" i="68"/>
  <c r="J29" i="68"/>
  <c r="I30" i="68"/>
  <c r="I31" i="68" s="1"/>
  <c r="I34" i="68" s="1"/>
  <c r="I35" i="68" s="1"/>
  <c r="I36" i="68" s="1"/>
  <c r="I38" i="68" s="1"/>
  <c r="J48" i="68" s="1"/>
  <c r="J30" i="68"/>
  <c r="J31" i="68"/>
  <c r="I32" i="68"/>
  <c r="J32" i="68"/>
  <c r="I33" i="68"/>
  <c r="J33" i="68"/>
  <c r="J34" i="68"/>
  <c r="I37" i="68"/>
  <c r="J44" i="68"/>
  <c r="K44" i="68"/>
  <c r="L44" i="68"/>
  <c r="M44" i="68"/>
  <c r="J45" i="68"/>
  <c r="K45" i="68"/>
  <c r="L45" i="68"/>
  <c r="M45" i="68"/>
  <c r="J46" i="68"/>
  <c r="K46" i="68"/>
  <c r="L46" i="68"/>
  <c r="M46" i="68"/>
  <c r="J47" i="68"/>
  <c r="K47" i="68"/>
  <c r="L47" i="68"/>
  <c r="M47" i="68"/>
  <c r="K48" i="68"/>
  <c r="L48" i="68"/>
  <c r="M48" i="68"/>
  <c r="J51" i="68"/>
  <c r="K51" i="68"/>
  <c r="L51" i="68"/>
  <c r="M51" i="68"/>
  <c r="J52" i="68"/>
  <c r="K52" i="68"/>
  <c r="K63" i="68" s="1"/>
  <c r="L52" i="68"/>
  <c r="M52" i="68"/>
  <c r="J53" i="68"/>
  <c r="J64" i="68" s="1"/>
  <c r="K53" i="68"/>
  <c r="L53" i="68"/>
  <c r="M53" i="68"/>
  <c r="J54" i="68"/>
  <c r="K54" i="68"/>
  <c r="L54" i="68"/>
  <c r="M54" i="68"/>
  <c r="K55" i="68"/>
  <c r="K56" i="68" s="1"/>
  <c r="L55" i="68"/>
  <c r="L56" i="68" s="1"/>
  <c r="M55" i="68"/>
  <c r="M56" i="68"/>
  <c r="M58" i="68" s="1"/>
  <c r="M65" i="68" s="1"/>
  <c r="M62" i="68"/>
  <c r="J63" i="68"/>
  <c r="L63" i="68"/>
  <c r="M63" i="68"/>
  <c r="K64" i="68"/>
  <c r="L64" i="68"/>
  <c r="M64" i="68"/>
  <c r="K18" i="67"/>
  <c r="L18" i="67"/>
  <c r="K19" i="67"/>
  <c r="K20" i="67"/>
  <c r="L20" i="67"/>
  <c r="J27" i="67"/>
  <c r="J31" i="67"/>
  <c r="J35" i="67" s="1"/>
  <c r="J40" i="67" s="1"/>
  <c r="J41" i="67" s="1"/>
  <c r="J49" i="67" s="1"/>
  <c r="J39" i="67"/>
  <c r="J46" i="67"/>
  <c r="J18" i="66"/>
  <c r="K18" i="66"/>
  <c r="L18" i="66"/>
  <c r="J19" i="66"/>
  <c r="K19" i="66"/>
  <c r="L19" i="66"/>
  <c r="J20" i="66"/>
  <c r="K20" i="66"/>
  <c r="L20" i="66"/>
  <c r="L21" i="66"/>
  <c r="L22" i="66"/>
  <c r="J24" i="66"/>
  <c r="K24" i="66"/>
  <c r="L24" i="66"/>
  <c r="J28" i="66"/>
  <c r="K28" i="66"/>
  <c r="L28" i="66"/>
  <c r="K29" i="66"/>
  <c r="J44" i="66" s="1"/>
  <c r="L29" i="66"/>
  <c r="K34" i="66"/>
  <c r="L34" i="66"/>
  <c r="J35" i="66"/>
  <c r="K35" i="66"/>
  <c r="L35" i="66"/>
  <c r="J36" i="66"/>
  <c r="K36" i="66"/>
  <c r="K45" i="66" s="1"/>
  <c r="L36" i="66"/>
  <c r="L45" i="66" s="1"/>
  <c r="J37" i="66"/>
  <c r="K37" i="66"/>
  <c r="L37" i="66"/>
  <c r="L44" i="66" s="1"/>
  <c r="J38" i="66"/>
  <c r="K38" i="66"/>
  <c r="L38" i="66"/>
  <c r="J40" i="66"/>
  <c r="K40" i="66"/>
  <c r="L40" i="66"/>
  <c r="L50" i="66" s="1"/>
  <c r="L52" i="66" s="1"/>
  <c r="J41" i="66"/>
  <c r="K41" i="66"/>
  <c r="K50" i="66" s="1"/>
  <c r="K52" i="66" s="1"/>
  <c r="L41" i="66"/>
  <c r="K44" i="66"/>
  <c r="J50" i="66"/>
  <c r="J52" i="66" s="1"/>
  <c r="J51" i="66"/>
  <c r="K51" i="66"/>
  <c r="L51" i="66"/>
  <c r="C12" i="64"/>
  <c r="D36" i="63"/>
  <c r="E36" i="63"/>
  <c r="F36" i="63"/>
  <c r="C19" i="62"/>
  <c r="C22" i="56"/>
  <c r="C25" i="56" s="1"/>
  <c r="C23" i="56"/>
  <c r="C29" i="56"/>
  <c r="C32" i="56"/>
  <c r="C36" i="56"/>
  <c r="C38" i="56"/>
  <c r="K18" i="55" a="1"/>
  <c r="K18" i="55" s="1"/>
  <c r="L18" i="55" a="1"/>
  <c r="L18" i="55" s="1"/>
  <c r="M18" i="55" a="1"/>
  <c r="M18" i="55" s="1"/>
  <c r="N18" i="55" a="1"/>
  <c r="N18" i="55" s="1"/>
  <c r="O18" i="55" a="1"/>
  <c r="O18" i="55" s="1"/>
  <c r="P18" i="55" a="1"/>
  <c r="P18" i="55" s="1"/>
  <c r="K37" i="55"/>
  <c r="P37" i="55" s="1"/>
  <c r="K38" i="55"/>
  <c r="L38" i="55" s="1"/>
  <c r="K39" i="55"/>
  <c r="O39" i="55" s="1"/>
  <c r="K40" i="55"/>
  <c r="M40" i="55" s="1"/>
  <c r="K41" i="55"/>
  <c r="O41" i="55" s="1"/>
  <c r="K42" i="55"/>
  <c r="M42" i="55" s="1"/>
  <c r="K43" i="55"/>
  <c r="O43" i="55" s="1"/>
  <c r="K44" i="55"/>
  <c r="M44" i="55" s="1"/>
  <c r="K45" i="55"/>
  <c r="O45" i="55" s="1"/>
  <c r="K46" i="55"/>
  <c r="N46" i="55" s="1"/>
  <c r="K47" i="55"/>
  <c r="L47" i="55" s="1"/>
  <c r="K48" i="55"/>
  <c r="N48" i="55" s="1"/>
  <c r="K49" i="55"/>
  <c r="L49" i="55" s="1"/>
  <c r="K50" i="55"/>
  <c r="L50" i="55" s="1"/>
  <c r="K51" i="55"/>
  <c r="M51" i="55" s="1"/>
  <c r="K52" i="55"/>
  <c r="K53" i="55"/>
  <c r="M53" i="55" s="1"/>
  <c r="K54" i="55"/>
  <c r="K55" i="55"/>
  <c r="M55" i="55" s="1"/>
  <c r="T55" i="55"/>
  <c r="U55" i="55"/>
  <c r="V55" i="55" s="1"/>
  <c r="K56" i="55"/>
  <c r="O56" i="55" s="1"/>
  <c r="T56" i="55"/>
  <c r="V56" i="55" s="1"/>
  <c r="U56" i="55"/>
  <c r="K57" i="55"/>
  <c r="L57" i="55" s="1"/>
  <c r="K58" i="55"/>
  <c r="L58" i="55" s="1"/>
  <c r="K59" i="55"/>
  <c r="L59" i="55" s="1"/>
  <c r="K60" i="55"/>
  <c r="L60" i="55" s="1"/>
  <c r="T60" i="55"/>
  <c r="V60" i="55" s="1"/>
  <c r="U60" i="55"/>
  <c r="K61" i="55"/>
  <c r="N61" i="55" s="1"/>
  <c r="T61" i="55"/>
  <c r="V61" i="55" s="1"/>
  <c r="U61" i="55"/>
  <c r="K62" i="55"/>
  <c r="M62" i="55" s="1"/>
  <c r="K63" i="55"/>
  <c r="K64" i="55"/>
  <c r="M64" i="55" s="1"/>
  <c r="K65" i="55"/>
  <c r="K66" i="55"/>
  <c r="M66" i="55" s="1"/>
  <c r="K67" i="55"/>
  <c r="K68" i="55"/>
  <c r="M68" i="55" s="1"/>
  <c r="K69" i="55"/>
  <c r="K70" i="55"/>
  <c r="M70" i="55" s="1"/>
  <c r="K71" i="55"/>
  <c r="K72" i="55"/>
  <c r="M72" i="55" s="1"/>
  <c r="K73" i="55"/>
  <c r="K74" i="55"/>
  <c r="M74" i="55" s="1"/>
  <c r="K75" i="55"/>
  <c r="K76" i="55"/>
  <c r="M76" i="55" s="1"/>
  <c r="K77" i="55"/>
  <c r="K78" i="55"/>
  <c r="M78" i="55" s="1"/>
  <c r="K79" i="55"/>
  <c r="K80" i="55"/>
  <c r="M80" i="55" s="1"/>
  <c r="K81" i="55"/>
  <c r="K82" i="55"/>
  <c r="M82" i="55" s="1"/>
  <c r="K83" i="55"/>
  <c r="K84" i="55"/>
  <c r="M84" i="55" s="1"/>
  <c r="K85" i="55"/>
  <c r="K86" i="55"/>
  <c r="M86" i="55" s="1"/>
  <c r="K87" i="55"/>
  <c r="K88" i="55"/>
  <c r="P39" i="55" s="1"/>
  <c r="K89" i="55"/>
  <c r="K90" i="55"/>
  <c r="L42" i="55" s="1"/>
  <c r="K91" i="55"/>
  <c r="K92" i="55"/>
  <c r="N85" i="55" s="1"/>
  <c r="K93" i="55"/>
  <c r="K94" i="55"/>
  <c r="K95" i="55"/>
  <c r="K96" i="55"/>
  <c r="N70" i="55" s="1"/>
  <c r="K97" i="55"/>
  <c r="K98" i="55"/>
  <c r="K99" i="55"/>
  <c r="K100" i="55"/>
  <c r="K101" i="55"/>
  <c r="K102" i="55"/>
  <c r="K103" i="55"/>
  <c r="K104" i="55"/>
  <c r="K105" i="55"/>
  <c r="K106" i="55"/>
  <c r="K107" i="55"/>
  <c r="K108" i="55"/>
  <c r="K109" i="55"/>
  <c r="K110" i="55"/>
  <c r="K111" i="55"/>
  <c r="K112" i="55"/>
  <c r="K113" i="55"/>
  <c r="K114" i="55"/>
  <c r="K115" i="55"/>
  <c r="K116" i="55"/>
  <c r="K117" i="55"/>
  <c r="K118" i="55"/>
  <c r="K119" i="55"/>
  <c r="K120" i="55"/>
  <c r="K121" i="55"/>
  <c r="K122" i="55"/>
  <c r="K123" i="55"/>
  <c r="K124" i="55"/>
  <c r="K125" i="55"/>
  <c r="K126" i="55"/>
  <c r="K127" i="55"/>
  <c r="K128" i="55"/>
  <c r="K129" i="55"/>
  <c r="K130" i="55"/>
  <c r="K131" i="55"/>
  <c r="K132" i="55"/>
  <c r="K133" i="55"/>
  <c r="K134" i="55"/>
  <c r="K135" i="55"/>
  <c r="K136" i="55"/>
  <c r="K137" i="55"/>
  <c r="K138" i="55"/>
  <c r="K139" i="55"/>
  <c r="K140" i="55"/>
  <c r="K141" i="55"/>
  <c r="K142" i="55"/>
  <c r="K143" i="55"/>
  <c r="K144" i="55"/>
  <c r="K145" i="55"/>
  <c r="K146" i="55"/>
  <c r="K147" i="55"/>
  <c r="K148" i="55"/>
  <c r="K149" i="55"/>
  <c r="K150" i="55"/>
  <c r="K151" i="55"/>
  <c r="K152" i="55"/>
  <c r="K153" i="55"/>
  <c r="K154" i="55"/>
  <c r="K155" i="55"/>
  <c r="K156" i="55"/>
  <c r="K157" i="55"/>
  <c r="K158" i="55"/>
  <c r="K159" i="55"/>
  <c r="K160" i="55"/>
  <c r="K161" i="55"/>
  <c r="K162" i="55"/>
  <c r="K163" i="55"/>
  <c r="K164" i="55"/>
  <c r="K165" i="55"/>
  <c r="K166" i="55"/>
  <c r="K167" i="55"/>
  <c r="K168" i="55"/>
  <c r="K169" i="55"/>
  <c r="K170" i="55"/>
  <c r="K171" i="55"/>
  <c r="K172" i="55"/>
  <c r="K173" i="55"/>
  <c r="K174" i="55"/>
  <c r="K175" i="55"/>
  <c r="K176" i="55"/>
  <c r="K177" i="55"/>
  <c r="K178" i="55"/>
  <c r="K179" i="55"/>
  <c r="K180" i="55"/>
  <c r="K181" i="55"/>
  <c r="K182" i="55"/>
  <c r="K183" i="55"/>
  <c r="K184" i="55"/>
  <c r="K185" i="55"/>
  <c r="K186" i="55"/>
  <c r="K187" i="55"/>
  <c r="K188" i="55"/>
  <c r="K189" i="55"/>
  <c r="K190" i="55"/>
  <c r="K191" i="55"/>
  <c r="K192" i="55"/>
  <c r="K193" i="55"/>
  <c r="K194" i="55"/>
  <c r="K195" i="55"/>
  <c r="K196" i="55"/>
  <c r="K197" i="55"/>
  <c r="K198" i="55"/>
  <c r="K199" i="55"/>
  <c r="K200" i="55"/>
  <c r="K201" i="55"/>
  <c r="K202" i="55"/>
  <c r="K203" i="55"/>
  <c r="K204" i="55"/>
  <c r="K205" i="55"/>
  <c r="K206" i="55"/>
  <c r="K207" i="55"/>
  <c r="K208" i="55"/>
  <c r="K209" i="55"/>
  <c r="K210" i="55"/>
  <c r="K211" i="55"/>
  <c r="K212" i="55"/>
  <c r="K213" i="55"/>
  <c r="K214" i="55"/>
  <c r="K215" i="55"/>
  <c r="K216" i="55"/>
  <c r="K217" i="55"/>
  <c r="K218" i="55"/>
  <c r="K219" i="55"/>
  <c r="K220" i="55"/>
  <c r="K221" i="55"/>
  <c r="K222" i="55"/>
  <c r="K223" i="55"/>
  <c r="K224" i="55"/>
  <c r="K225" i="55"/>
  <c r="K226" i="55"/>
  <c r="K227" i="55"/>
  <c r="K228" i="55"/>
  <c r="K229" i="55"/>
  <c r="K230" i="55"/>
  <c r="K231" i="55"/>
  <c r="K232" i="55"/>
  <c r="K233" i="55"/>
  <c r="K234" i="55"/>
  <c r="K235" i="55"/>
  <c r="K236" i="55"/>
  <c r="K237" i="55"/>
  <c r="K238" i="55"/>
  <c r="K239" i="55"/>
  <c r="K240" i="55"/>
  <c r="K241" i="55"/>
  <c r="K242" i="55"/>
  <c r="K243" i="55"/>
  <c r="K244" i="55"/>
  <c r="K245" i="55"/>
  <c r="K246" i="55"/>
  <c r="K247" i="55"/>
  <c r="K248" i="55"/>
  <c r="K249" i="55"/>
  <c r="K250" i="55"/>
  <c r="K251" i="55"/>
  <c r="K252" i="55"/>
  <c r="K253" i="55"/>
  <c r="K254" i="55"/>
  <c r="K255" i="55"/>
  <c r="K256" i="55"/>
  <c r="K257" i="55"/>
  <c r="K258" i="55"/>
  <c r="K259" i="55"/>
  <c r="K260" i="55"/>
  <c r="K261" i="55"/>
  <c r="K262" i="55"/>
  <c r="K263" i="55"/>
  <c r="K264" i="55"/>
  <c r="K265" i="55"/>
  <c r="K266" i="55"/>
  <c r="K267" i="55"/>
  <c r="K268" i="55"/>
  <c r="K269" i="55"/>
  <c r="K270" i="55"/>
  <c r="K271" i="55"/>
  <c r="K272" i="55"/>
  <c r="K273" i="55"/>
  <c r="K274" i="55"/>
  <c r="K275" i="55"/>
  <c r="K276" i="55"/>
  <c r="K277" i="55"/>
  <c r="K278" i="55"/>
  <c r="K279" i="55"/>
  <c r="K280" i="55"/>
  <c r="K281" i="55"/>
  <c r="K282" i="55"/>
  <c r="K283" i="55"/>
  <c r="K284" i="55"/>
  <c r="K285" i="55"/>
  <c r="K286" i="55"/>
  <c r="K287" i="55"/>
  <c r="K288" i="55"/>
  <c r="K289" i="55"/>
  <c r="K290" i="55"/>
  <c r="K291" i="55"/>
  <c r="K292" i="55"/>
  <c r="K293" i="55"/>
  <c r="K294" i="55"/>
  <c r="K295" i="55"/>
  <c r="K296" i="55"/>
  <c r="K297" i="55"/>
  <c r="K298" i="55"/>
  <c r="K299" i="55"/>
  <c r="K300" i="55"/>
  <c r="K301" i="55"/>
  <c r="K302" i="55"/>
  <c r="K303" i="55"/>
  <c r="K304" i="55"/>
  <c r="K305" i="55"/>
  <c r="K306" i="55"/>
  <c r="K307" i="55"/>
  <c r="K308" i="55"/>
  <c r="K309" i="55"/>
  <c r="K310" i="55"/>
  <c r="K311" i="55"/>
  <c r="K312" i="55"/>
  <c r="K313" i="55"/>
  <c r="K314" i="55"/>
  <c r="K315" i="55"/>
  <c r="K316" i="55"/>
  <c r="K317" i="55"/>
  <c r="K318" i="55"/>
  <c r="K319" i="55"/>
  <c r="K320" i="55"/>
  <c r="K321" i="55"/>
  <c r="K322" i="55"/>
  <c r="K323" i="55"/>
  <c r="K324" i="55"/>
  <c r="K325" i="55"/>
  <c r="K326" i="55"/>
  <c r="K327" i="55"/>
  <c r="K328" i="55"/>
  <c r="K329" i="55"/>
  <c r="K330" i="55"/>
  <c r="K331" i="55"/>
  <c r="K332" i="55"/>
  <c r="K333" i="55"/>
  <c r="K334" i="55"/>
  <c r="K335" i="55"/>
  <c r="K336" i="55"/>
  <c r="E33" i="54"/>
  <c r="E38" i="54" s="1"/>
  <c r="E34" i="54"/>
  <c r="E35" i="54" s="1"/>
  <c r="E36" i="54" s="1"/>
  <c r="E44" i="54" s="1"/>
  <c r="E45" i="54" s="1"/>
  <c r="E46" i="54" s="1"/>
  <c r="E47" i="54" s="1"/>
  <c r="E39" i="54"/>
  <c r="E40" i="54" s="1"/>
  <c r="E41" i="54" s="1"/>
  <c r="E42" i="54"/>
  <c r="E48" i="54"/>
  <c r="I26" i="53"/>
  <c r="I27" i="53"/>
  <c r="J27" i="53"/>
  <c r="J37" i="53" s="1"/>
  <c r="I28" i="53"/>
  <c r="J28" i="53"/>
  <c r="I29" i="53"/>
  <c r="J29" i="53"/>
  <c r="K29" i="53" s="1"/>
  <c r="L29" i="53" s="1"/>
  <c r="J33" i="53"/>
  <c r="K33" i="53"/>
  <c r="L33" i="53" s="1"/>
  <c r="J34" i="53"/>
  <c r="K34" i="53" s="1"/>
  <c r="L34" i="53" s="1"/>
  <c r="J35" i="53"/>
  <c r="K35" i="53"/>
  <c r="L35" i="53" s="1"/>
  <c r="J48" i="53"/>
  <c r="P49" i="53" s="1"/>
  <c r="P54" i="53" s="1"/>
  <c r="P55" i="53" s="1"/>
  <c r="P57" i="53" s="1"/>
  <c r="P48" i="53"/>
  <c r="J53" i="53"/>
  <c r="P53" i="53"/>
  <c r="J54" i="53"/>
  <c r="J55" i="53" s="1"/>
  <c r="J57" i="53" s="1"/>
  <c r="S22" i="52"/>
  <c r="S23" i="52" s="1"/>
  <c r="T22" i="52"/>
  <c r="U22" i="52"/>
  <c r="K25" i="52"/>
  <c r="N53" i="52" s="1"/>
  <c r="K26" i="52"/>
  <c r="K27" i="52"/>
  <c r="K28" i="52"/>
  <c r="K29" i="52"/>
  <c r="O53" i="52" s="1"/>
  <c r="N29" i="52"/>
  <c r="N31" i="52" s="1"/>
  <c r="O29" i="52"/>
  <c r="O31" i="52" s="1"/>
  <c r="P29" i="52"/>
  <c r="P31" i="52" s="1"/>
  <c r="K30" i="52"/>
  <c r="N30" i="52"/>
  <c r="O30" i="52"/>
  <c r="O44" i="52" s="1"/>
  <c r="S43" i="52" s="1"/>
  <c r="P30" i="52"/>
  <c r="K31" i="52"/>
  <c r="K32" i="52"/>
  <c r="K33" i="52"/>
  <c r="K34" i="52"/>
  <c r="K35" i="52"/>
  <c r="K36" i="52"/>
  <c r="N36" i="52"/>
  <c r="N43" i="52" s="1"/>
  <c r="O36" i="52"/>
  <c r="O38" i="52" s="1"/>
  <c r="P36" i="52"/>
  <c r="P43" i="52" s="1"/>
  <c r="K37" i="52"/>
  <c r="N37" i="52"/>
  <c r="O37" i="52"/>
  <c r="P37" i="52"/>
  <c r="K38" i="52"/>
  <c r="K39" i="52"/>
  <c r="K40" i="52"/>
  <c r="K41" i="52"/>
  <c r="K42" i="52"/>
  <c r="K43" i="52"/>
  <c r="K44" i="52"/>
  <c r="N44" i="52"/>
  <c r="P44" i="52"/>
  <c r="K45" i="52"/>
  <c r="K46" i="52"/>
  <c r="K47" i="52"/>
  <c r="K48" i="52"/>
  <c r="K49" i="52"/>
  <c r="K50" i="52"/>
  <c r="K51" i="52"/>
  <c r="K52" i="52"/>
  <c r="K53" i="52"/>
  <c r="K54" i="52"/>
  <c r="K55" i="52"/>
  <c r="K56" i="52"/>
  <c r="K57" i="52"/>
  <c r="O60" i="52" s="1"/>
  <c r="K58" i="52"/>
  <c r="K59" i="52"/>
  <c r="K60" i="52"/>
  <c r="K61" i="52"/>
  <c r="K62" i="52"/>
  <c r="K63" i="52"/>
  <c r="K64" i="52"/>
  <c r="K65" i="52"/>
  <c r="K66" i="52"/>
  <c r="K67" i="52"/>
  <c r="K68" i="52"/>
  <c r="K69" i="52"/>
  <c r="K70" i="52"/>
  <c r="K71" i="52"/>
  <c r="K72" i="52"/>
  <c r="K73" i="52"/>
  <c r="K74" i="52"/>
  <c r="K75" i="52"/>
  <c r="K76" i="52"/>
  <c r="K77" i="52"/>
  <c r="K78" i="52"/>
  <c r="K79" i="52"/>
  <c r="K80" i="52"/>
  <c r="K81" i="52"/>
  <c r="K82" i="52"/>
  <c r="K83" i="52"/>
  <c r="K84" i="52"/>
  <c r="K85" i="52"/>
  <c r="K86" i="52"/>
  <c r="K87" i="52"/>
  <c r="K88" i="52"/>
  <c r="K89" i="52"/>
  <c r="K90" i="52"/>
  <c r="K91" i="52"/>
  <c r="K92" i="52"/>
  <c r="K93" i="52"/>
  <c r="K94" i="52"/>
  <c r="K95" i="52"/>
  <c r="K96" i="52"/>
  <c r="K97" i="52"/>
  <c r="K98" i="52"/>
  <c r="K99" i="52"/>
  <c r="K100" i="52"/>
  <c r="K101" i="52"/>
  <c r="K102" i="52"/>
  <c r="K103" i="52"/>
  <c r="K104" i="52"/>
  <c r="K105" i="52"/>
  <c r="K106" i="52"/>
  <c r="K107" i="52"/>
  <c r="K108" i="52"/>
  <c r="K109" i="52"/>
  <c r="K110" i="52"/>
  <c r="K111" i="52"/>
  <c r="K112" i="52"/>
  <c r="K113" i="52"/>
  <c r="K114" i="52"/>
  <c r="K115" i="52"/>
  <c r="K116" i="52"/>
  <c r="K117" i="52"/>
  <c r="K118" i="52"/>
  <c r="K119" i="52"/>
  <c r="K120" i="52"/>
  <c r="K121" i="52"/>
  <c r="K122" i="52"/>
  <c r="K123" i="52"/>
  <c r="K124" i="52"/>
  <c r="K125" i="52"/>
  <c r="K126" i="52"/>
  <c r="K127" i="52"/>
  <c r="K128" i="52"/>
  <c r="K129" i="52"/>
  <c r="K130" i="52"/>
  <c r="K131" i="52"/>
  <c r="K132" i="52"/>
  <c r="K133" i="52"/>
  <c r="K134" i="52"/>
  <c r="K135" i="52"/>
  <c r="K136" i="52"/>
  <c r="K137" i="52"/>
  <c r="K138" i="52"/>
  <c r="K139" i="52"/>
  <c r="K140" i="52"/>
  <c r="K141" i="52"/>
  <c r="K142" i="52"/>
  <c r="K143" i="52"/>
  <c r="K144" i="52"/>
  <c r="K145" i="52"/>
  <c r="K146" i="52"/>
  <c r="K147" i="52"/>
  <c r="K148" i="52"/>
  <c r="K149" i="52"/>
  <c r="K150" i="52"/>
  <c r="K151" i="52"/>
  <c r="K152" i="52"/>
  <c r="K153" i="52"/>
  <c r="K154" i="52"/>
  <c r="K155" i="52"/>
  <c r="K156" i="52"/>
  <c r="K157" i="52"/>
  <c r="K158" i="52"/>
  <c r="K159" i="52"/>
  <c r="K160" i="52"/>
  <c r="K161" i="52"/>
  <c r="K162" i="52"/>
  <c r="K163" i="52"/>
  <c r="K164" i="52"/>
  <c r="K165" i="52"/>
  <c r="K166" i="52"/>
  <c r="K167" i="52"/>
  <c r="K168" i="52"/>
  <c r="K169" i="52"/>
  <c r="K170" i="52"/>
  <c r="K171" i="52"/>
  <c r="K172" i="52"/>
  <c r="K173" i="52"/>
  <c r="K174" i="52"/>
  <c r="K175" i="52"/>
  <c r="K176" i="52"/>
  <c r="K177" i="52"/>
  <c r="K178" i="52"/>
  <c r="K179" i="52"/>
  <c r="K180" i="52"/>
  <c r="K181" i="52"/>
  <c r="K182" i="52"/>
  <c r="K183" i="52"/>
  <c r="K184" i="52"/>
  <c r="K185" i="52"/>
  <c r="K186" i="52"/>
  <c r="K187" i="52"/>
  <c r="K188" i="52"/>
  <c r="K189" i="52"/>
  <c r="K190" i="52"/>
  <c r="K191" i="52"/>
  <c r="K192" i="52"/>
  <c r="K193" i="52"/>
  <c r="K194" i="52"/>
  <c r="K195" i="52"/>
  <c r="K196" i="52"/>
  <c r="K197" i="52"/>
  <c r="K198" i="52"/>
  <c r="K199" i="52"/>
  <c r="K200" i="52"/>
  <c r="K201" i="52"/>
  <c r="K202" i="52"/>
  <c r="K203" i="52"/>
  <c r="K204" i="52"/>
  <c r="K205" i="52"/>
  <c r="K206" i="52"/>
  <c r="K207" i="52"/>
  <c r="K208" i="52"/>
  <c r="K209" i="52"/>
  <c r="K210" i="52"/>
  <c r="K211" i="52"/>
  <c r="K212" i="52"/>
  <c r="K213" i="52"/>
  <c r="K214" i="52"/>
  <c r="K215" i="52"/>
  <c r="K216" i="52"/>
  <c r="K217" i="52"/>
  <c r="K218" i="52"/>
  <c r="K219" i="52"/>
  <c r="K220" i="52"/>
  <c r="K221" i="52"/>
  <c r="K222" i="52"/>
  <c r="K223" i="52"/>
  <c r="K224" i="52"/>
  <c r="K225" i="52"/>
  <c r="K226" i="52"/>
  <c r="K227" i="52"/>
  <c r="K228" i="52"/>
  <c r="K229" i="52"/>
  <c r="K230" i="52"/>
  <c r="K231" i="52"/>
  <c r="K232" i="52"/>
  <c r="K233" i="52"/>
  <c r="K234" i="52"/>
  <c r="K235" i="52"/>
  <c r="K236" i="52"/>
  <c r="K237" i="52"/>
  <c r="K238" i="52"/>
  <c r="K239" i="52"/>
  <c r="K240" i="52"/>
  <c r="K241" i="52"/>
  <c r="K242" i="52"/>
  <c r="K243" i="52"/>
  <c r="K244" i="52"/>
  <c r="K245" i="52"/>
  <c r="K246" i="52"/>
  <c r="K247" i="52"/>
  <c r="K248" i="52"/>
  <c r="K249" i="52"/>
  <c r="K250" i="52"/>
  <c r="K251" i="52"/>
  <c r="K252" i="52"/>
  <c r="K253" i="52"/>
  <c r="K254" i="52"/>
  <c r="K255" i="52"/>
  <c r="K256" i="52"/>
  <c r="K257" i="52"/>
  <c r="K258" i="52"/>
  <c r="K259" i="52"/>
  <c r="K260" i="52"/>
  <c r="K261" i="52"/>
  <c r="K262" i="52"/>
  <c r="K263" i="52"/>
  <c r="K264" i="52"/>
  <c r="K265" i="52"/>
  <c r="K266" i="52"/>
  <c r="K267" i="52"/>
  <c r="K268" i="52"/>
  <c r="K269" i="52"/>
  <c r="K270" i="52"/>
  <c r="K271" i="52"/>
  <c r="K272" i="52"/>
  <c r="K273" i="52"/>
  <c r="K274" i="52"/>
  <c r="K275" i="52"/>
  <c r="K276" i="52"/>
  <c r="K277" i="52"/>
  <c r="K278" i="52"/>
  <c r="K279" i="52"/>
  <c r="K280" i="52"/>
  <c r="K281" i="52"/>
  <c r="K282" i="52"/>
  <c r="K283" i="52"/>
  <c r="K284" i="52"/>
  <c r="K285" i="52"/>
  <c r="K286" i="52"/>
  <c r="K287" i="52"/>
  <c r="K288" i="52"/>
  <c r="K289" i="52"/>
  <c r="K290" i="52"/>
  <c r="K291" i="52"/>
  <c r="K292" i="52"/>
  <c r="K293" i="52"/>
  <c r="K294" i="52"/>
  <c r="K295" i="52"/>
  <c r="K296" i="52"/>
  <c r="K297" i="52"/>
  <c r="K298" i="52"/>
  <c r="K299" i="52"/>
  <c r="K300" i="52"/>
  <c r="K301" i="52"/>
  <c r="K302" i="52"/>
  <c r="K303" i="52"/>
  <c r="K304" i="52"/>
  <c r="K305" i="52"/>
  <c r="K306" i="52"/>
  <c r="K307" i="52"/>
  <c r="K308" i="52"/>
  <c r="K309" i="52"/>
  <c r="K310" i="52"/>
  <c r="K311" i="52"/>
  <c r="K312" i="52"/>
  <c r="K313" i="52"/>
  <c r="K314" i="52"/>
  <c r="K315" i="52"/>
  <c r="K316" i="52"/>
  <c r="K317" i="52"/>
  <c r="K318" i="52"/>
  <c r="K319" i="52"/>
  <c r="K320" i="52"/>
  <c r="K321" i="52"/>
  <c r="K322" i="52"/>
  <c r="K323" i="52"/>
  <c r="K324" i="52"/>
  <c r="K325" i="52"/>
  <c r="K326" i="52"/>
  <c r="K327" i="52"/>
  <c r="K328" i="52"/>
  <c r="K329" i="52"/>
  <c r="K330" i="52"/>
  <c r="K331" i="52"/>
  <c r="K332" i="52"/>
  <c r="K333" i="52"/>
  <c r="K334" i="52"/>
  <c r="K335" i="52"/>
  <c r="K336" i="52"/>
  <c r="K337" i="52"/>
  <c r="K338" i="52"/>
  <c r="K339" i="52"/>
  <c r="K340" i="52"/>
  <c r="K341" i="52"/>
  <c r="K342" i="52"/>
  <c r="K343" i="52"/>
  <c r="K344" i="52"/>
  <c r="K345" i="52"/>
  <c r="K346" i="52"/>
  <c r="K347" i="52"/>
  <c r="K348" i="52"/>
  <c r="K349" i="52"/>
  <c r="K350" i="52"/>
  <c r="K351" i="52"/>
  <c r="K352" i="52"/>
  <c r="K353" i="52"/>
  <c r="K354" i="52"/>
  <c r="K355" i="52"/>
  <c r="K356" i="52"/>
  <c r="K357" i="52"/>
  <c r="K358" i="52"/>
  <c r="K359" i="52"/>
  <c r="K360" i="52"/>
  <c r="K361" i="52"/>
  <c r="K362" i="52"/>
  <c r="K363" i="52"/>
  <c r="K364" i="52"/>
  <c r="K365" i="52"/>
  <c r="K366" i="52"/>
  <c r="K367" i="52"/>
  <c r="K368" i="52"/>
  <c r="K369" i="52"/>
  <c r="K370" i="52"/>
  <c r="K371" i="52"/>
  <c r="K372" i="52"/>
  <c r="K373" i="52"/>
  <c r="K374" i="52"/>
  <c r="K375" i="52"/>
  <c r="K376" i="52"/>
  <c r="K377" i="52"/>
  <c r="K378" i="52"/>
  <c r="K379" i="52"/>
  <c r="K380" i="52"/>
  <c r="K381" i="52"/>
  <c r="K382" i="52"/>
  <c r="K383" i="52"/>
  <c r="K384" i="52"/>
  <c r="K385" i="52"/>
  <c r="K386" i="52"/>
  <c r="K387" i="52"/>
  <c r="K388" i="52"/>
  <c r="K389" i="52"/>
  <c r="K390" i="52"/>
  <c r="K391" i="52"/>
  <c r="K392" i="52"/>
  <c r="K393" i="52"/>
  <c r="K394" i="52"/>
  <c r="K395" i="52"/>
  <c r="K396" i="52"/>
  <c r="K397" i="52"/>
  <c r="K398" i="52"/>
  <c r="K399" i="52"/>
  <c r="K400" i="52"/>
  <c r="K401" i="52"/>
  <c r="K402" i="52"/>
  <c r="K403" i="52"/>
  <c r="K404" i="52"/>
  <c r="K405" i="52"/>
  <c r="K406" i="52"/>
  <c r="K407" i="52"/>
  <c r="K408" i="52"/>
  <c r="K409" i="52"/>
  <c r="K410" i="52"/>
  <c r="K411" i="52"/>
  <c r="K412" i="52"/>
  <c r="K413" i="52"/>
  <c r="K414" i="52"/>
  <c r="K415" i="52"/>
  <c r="K416" i="52"/>
  <c r="K417" i="52"/>
  <c r="K418" i="52"/>
  <c r="K419" i="52"/>
  <c r="K420" i="52"/>
  <c r="K421" i="52"/>
  <c r="K422" i="52"/>
  <c r="K423" i="52"/>
  <c r="K424" i="52"/>
  <c r="K425" i="52"/>
  <c r="K426" i="52"/>
  <c r="K427" i="52"/>
  <c r="K428" i="52"/>
  <c r="K429" i="52"/>
  <c r="K430" i="52"/>
  <c r="K431" i="52"/>
  <c r="K432" i="52"/>
  <c r="K433" i="52"/>
  <c r="K434" i="52"/>
  <c r="K435" i="52"/>
  <c r="K436" i="52"/>
  <c r="K437" i="52"/>
  <c r="K438" i="52"/>
  <c r="K439" i="52"/>
  <c r="K440" i="52"/>
  <c r="K441" i="52"/>
  <c r="K442" i="52"/>
  <c r="K443" i="52"/>
  <c r="K444" i="52"/>
  <c r="K445" i="52"/>
  <c r="K446" i="52"/>
  <c r="K447" i="52"/>
  <c r="K448" i="52"/>
  <c r="K449" i="52"/>
  <c r="K450" i="52"/>
  <c r="K451" i="52"/>
  <c r="K452" i="52"/>
  <c r="K453" i="52"/>
  <c r="K454" i="52"/>
  <c r="K455" i="52"/>
  <c r="K456" i="52"/>
  <c r="K457" i="52"/>
  <c r="K458" i="52"/>
  <c r="K459" i="52"/>
  <c r="K460" i="52"/>
  <c r="K461" i="52"/>
  <c r="K462" i="52"/>
  <c r="K463" i="52"/>
  <c r="K464" i="52"/>
  <c r="K465" i="52"/>
  <c r="K466" i="52"/>
  <c r="K467" i="52"/>
  <c r="K468" i="52"/>
  <c r="K469" i="52"/>
  <c r="K470" i="52"/>
  <c r="K471" i="52"/>
  <c r="K472" i="52"/>
  <c r="K473" i="52"/>
  <c r="K474" i="52"/>
  <c r="K475" i="52"/>
  <c r="K476" i="52"/>
  <c r="K477" i="52"/>
  <c r="K478" i="52"/>
  <c r="K479" i="52"/>
  <c r="K480" i="52"/>
  <c r="K481" i="52"/>
  <c r="K482" i="52"/>
  <c r="K483" i="52"/>
  <c r="K484" i="52"/>
  <c r="K485" i="52"/>
  <c r="K486" i="52"/>
  <c r="K487" i="52"/>
  <c r="K488" i="52"/>
  <c r="K489" i="52"/>
  <c r="K490" i="52"/>
  <c r="K491" i="52"/>
  <c r="K492" i="52"/>
  <c r="K493" i="52"/>
  <c r="K494" i="52"/>
  <c r="K495" i="52"/>
  <c r="K496" i="52"/>
  <c r="K497" i="52"/>
  <c r="K498" i="52"/>
  <c r="K499" i="52"/>
  <c r="K500" i="52"/>
  <c r="K501" i="52"/>
  <c r="K502" i="52"/>
  <c r="K503" i="52"/>
  <c r="K504" i="52"/>
  <c r="K505" i="52"/>
  <c r="K506" i="52"/>
  <c r="K507" i="52"/>
  <c r="K508" i="52"/>
  <c r="K509" i="52"/>
  <c r="K510" i="52"/>
  <c r="K511" i="52"/>
  <c r="K512" i="52"/>
  <c r="K513" i="52"/>
  <c r="K514" i="52"/>
  <c r="K515" i="52"/>
  <c r="K516" i="52"/>
  <c r="K517" i="52"/>
  <c r="K518" i="52"/>
  <c r="K519" i="52"/>
  <c r="K520" i="52"/>
  <c r="K521" i="52"/>
  <c r="K522" i="52"/>
  <c r="K523" i="52"/>
  <c r="K524" i="52"/>
  <c r="K525" i="52"/>
  <c r="K526" i="52"/>
  <c r="K527" i="52"/>
  <c r="K528" i="52"/>
  <c r="K529" i="52"/>
  <c r="K530" i="52"/>
  <c r="K531" i="52"/>
  <c r="K532" i="52"/>
  <c r="K533" i="52"/>
  <c r="K534" i="52"/>
  <c r="K535" i="52"/>
  <c r="K536" i="52"/>
  <c r="K537" i="52"/>
  <c r="K538" i="52"/>
  <c r="K539" i="52"/>
  <c r="K540" i="52"/>
  <c r="K541" i="52"/>
  <c r="K542" i="52"/>
  <c r="K543" i="52"/>
  <c r="K544" i="52"/>
  <c r="K545" i="52"/>
  <c r="K546" i="52"/>
  <c r="K547" i="52"/>
  <c r="K548" i="52"/>
  <c r="K549" i="52"/>
  <c r="K550" i="52"/>
  <c r="K551" i="52"/>
  <c r="K552" i="52"/>
  <c r="K553" i="52"/>
  <c r="K554" i="52"/>
  <c r="K555" i="52"/>
  <c r="K556" i="52"/>
  <c r="K557" i="52"/>
  <c r="K558" i="52"/>
  <c r="K559" i="52"/>
  <c r="K560" i="52"/>
  <c r="K561" i="52"/>
  <c r="K562" i="52"/>
  <c r="K563" i="52"/>
  <c r="K564" i="52"/>
  <c r="K565" i="52"/>
  <c r="K566" i="52"/>
  <c r="K567" i="52"/>
  <c r="K568" i="52"/>
  <c r="K569" i="52"/>
  <c r="K570" i="52"/>
  <c r="K571" i="52"/>
  <c r="K572" i="52"/>
  <c r="K573" i="52"/>
  <c r="K574" i="52"/>
  <c r="K575" i="52"/>
  <c r="K576" i="52"/>
  <c r="K577" i="52"/>
  <c r="K578" i="52"/>
  <c r="K579" i="52"/>
  <c r="K580" i="52"/>
  <c r="K581" i="52"/>
  <c r="K582" i="52"/>
  <c r="K583" i="52"/>
  <c r="K584" i="52"/>
  <c r="K585" i="52"/>
  <c r="K586" i="52"/>
  <c r="K587" i="52"/>
  <c r="K588" i="52"/>
  <c r="K589" i="52"/>
  <c r="K590" i="52"/>
  <c r="K591" i="52"/>
  <c r="K592" i="52"/>
  <c r="K593" i="52"/>
  <c r="K594" i="52"/>
  <c r="K595" i="52"/>
  <c r="K596" i="52"/>
  <c r="K597" i="52"/>
  <c r="K598" i="52"/>
  <c r="K599" i="52"/>
  <c r="K600" i="52"/>
  <c r="K601" i="52"/>
  <c r="K602" i="52"/>
  <c r="K603" i="52"/>
  <c r="K604" i="52"/>
  <c r="K605" i="52"/>
  <c r="K606" i="52"/>
  <c r="K607" i="52"/>
  <c r="K608" i="52"/>
  <c r="K609" i="52"/>
  <c r="K610" i="52"/>
  <c r="K611" i="52"/>
  <c r="K612" i="52"/>
  <c r="K613" i="52"/>
  <c r="K614" i="52"/>
  <c r="K615" i="52"/>
  <c r="K616" i="52"/>
  <c r="K617" i="52"/>
  <c r="K618" i="52"/>
  <c r="K619" i="52"/>
  <c r="K620" i="52"/>
  <c r="K621" i="52"/>
  <c r="K622" i="52"/>
  <c r="K623" i="52"/>
  <c r="K624" i="52"/>
  <c r="K625" i="52"/>
  <c r="K626" i="52"/>
  <c r="K627" i="52"/>
  <c r="K628" i="52"/>
  <c r="K629" i="52"/>
  <c r="K630" i="52"/>
  <c r="K631" i="52"/>
  <c r="K632" i="52"/>
  <c r="K633" i="52"/>
  <c r="K634" i="52"/>
  <c r="K635" i="52"/>
  <c r="K636" i="52"/>
  <c r="K637" i="52"/>
  <c r="K638" i="52"/>
  <c r="K639" i="52"/>
  <c r="K640" i="52"/>
  <c r="K641" i="52"/>
  <c r="K642" i="52"/>
  <c r="K643" i="52"/>
  <c r="K644" i="52"/>
  <c r="K645" i="52"/>
  <c r="K646" i="52"/>
  <c r="K647" i="52"/>
  <c r="K648" i="52"/>
  <c r="K649" i="52"/>
  <c r="K650" i="52"/>
  <c r="K651" i="52"/>
  <c r="K652" i="52"/>
  <c r="K653" i="52"/>
  <c r="K654" i="52"/>
  <c r="K655" i="52"/>
  <c r="K656" i="52"/>
  <c r="K657" i="52"/>
  <c r="K658" i="52"/>
  <c r="K659" i="52"/>
  <c r="K660" i="52"/>
  <c r="K661" i="52"/>
  <c r="K662" i="52"/>
  <c r="K663" i="52"/>
  <c r="K664" i="52"/>
  <c r="K665" i="52"/>
  <c r="K666" i="52"/>
  <c r="K667" i="52"/>
  <c r="K668" i="52"/>
  <c r="K669" i="52"/>
  <c r="K670" i="52"/>
  <c r="K671" i="52"/>
  <c r="K672" i="52"/>
  <c r="K673" i="52"/>
  <c r="K674" i="52"/>
  <c r="K675" i="52"/>
  <c r="K676" i="52"/>
  <c r="K677" i="52"/>
  <c r="K678" i="52"/>
  <c r="K679" i="52"/>
  <c r="K680" i="52"/>
  <c r="K681" i="52"/>
  <c r="K682" i="52"/>
  <c r="K683" i="52"/>
  <c r="K684" i="52"/>
  <c r="K685" i="52"/>
  <c r="K686" i="52"/>
  <c r="K687" i="52"/>
  <c r="K688" i="52"/>
  <c r="K689" i="52"/>
  <c r="K690" i="52"/>
  <c r="K691" i="52"/>
  <c r="K692" i="52"/>
  <c r="K693" i="52"/>
  <c r="K694" i="52"/>
  <c r="K695" i="52"/>
  <c r="K696" i="52"/>
  <c r="K697" i="52"/>
  <c r="K698" i="52"/>
  <c r="K699" i="52"/>
  <c r="K700" i="52"/>
  <c r="K701" i="52"/>
  <c r="K702" i="52"/>
  <c r="K703" i="52"/>
  <c r="K704" i="52"/>
  <c r="K705" i="52"/>
  <c r="K706" i="52"/>
  <c r="K707" i="52"/>
  <c r="K708" i="52"/>
  <c r="K709" i="52"/>
  <c r="K710" i="52"/>
  <c r="K711" i="52"/>
  <c r="K712" i="52"/>
  <c r="K713" i="52"/>
  <c r="K714" i="52"/>
  <c r="K715" i="52"/>
  <c r="K716" i="52"/>
  <c r="K717" i="52"/>
  <c r="K718" i="52"/>
  <c r="K719" i="52"/>
  <c r="K720" i="52"/>
  <c r="K721" i="52"/>
  <c r="K722" i="52"/>
  <c r="K723" i="52"/>
  <c r="K724" i="52"/>
  <c r="K725" i="52"/>
  <c r="K726" i="52"/>
  <c r="K727" i="52"/>
  <c r="K728" i="52"/>
  <c r="K729" i="52"/>
  <c r="K730" i="52"/>
  <c r="K731" i="52"/>
  <c r="K732" i="52"/>
  <c r="K733" i="52"/>
  <c r="K734" i="52"/>
  <c r="K735" i="52"/>
  <c r="K736" i="52"/>
  <c r="K737" i="52"/>
  <c r="K738" i="52"/>
  <c r="K739" i="52"/>
  <c r="K740" i="52"/>
  <c r="K741" i="52"/>
  <c r="K742" i="52"/>
  <c r="K743" i="52"/>
  <c r="K744" i="52"/>
  <c r="K745" i="52"/>
  <c r="K746" i="52"/>
  <c r="K747" i="52"/>
  <c r="K748" i="52"/>
  <c r="K749" i="52"/>
  <c r="K750" i="52"/>
  <c r="K751" i="52"/>
  <c r="K752" i="52"/>
  <c r="K753" i="52"/>
  <c r="K754" i="52"/>
  <c r="K755" i="52"/>
  <c r="K756" i="52"/>
  <c r="K757" i="52"/>
  <c r="K758" i="52"/>
  <c r="K759" i="52"/>
  <c r="K760" i="52"/>
  <c r="K761" i="52"/>
  <c r="K762" i="52"/>
  <c r="K763" i="52"/>
  <c r="K764" i="52"/>
  <c r="K765" i="52"/>
  <c r="K766" i="52"/>
  <c r="K767" i="52"/>
  <c r="K768" i="52"/>
  <c r="K769" i="52"/>
  <c r="K770" i="52"/>
  <c r="K771" i="52"/>
  <c r="K772" i="52"/>
  <c r="K773" i="52"/>
  <c r="K774" i="52"/>
  <c r="K775" i="52"/>
  <c r="K776" i="52"/>
  <c r="K777" i="52"/>
  <c r="K778" i="52"/>
  <c r="K779" i="52"/>
  <c r="K780" i="52"/>
  <c r="K781" i="52"/>
  <c r="K782" i="52"/>
  <c r="K783" i="52"/>
  <c r="K784" i="52"/>
  <c r="K785" i="52"/>
  <c r="K786" i="52"/>
  <c r="K787" i="52"/>
  <c r="K788" i="52"/>
  <c r="K789" i="52"/>
  <c r="K790" i="52"/>
  <c r="K791" i="52"/>
  <c r="K792" i="52"/>
  <c r="K793" i="52"/>
  <c r="K794" i="52"/>
  <c r="K795" i="52"/>
  <c r="K796" i="52"/>
  <c r="K797" i="52"/>
  <c r="K798" i="52"/>
  <c r="K799" i="52"/>
  <c r="K800" i="52"/>
  <c r="K801" i="52"/>
  <c r="K802" i="52"/>
  <c r="K803" i="52"/>
  <c r="K804" i="52"/>
  <c r="K805" i="52"/>
  <c r="K806" i="52"/>
  <c r="K807" i="52"/>
  <c r="K808" i="52"/>
  <c r="K809" i="52"/>
  <c r="K810" i="52"/>
  <c r="K811" i="52"/>
  <c r="K812" i="52"/>
  <c r="K813" i="52"/>
  <c r="K814" i="52"/>
  <c r="K815" i="52"/>
  <c r="K816" i="52"/>
  <c r="K817" i="52"/>
  <c r="K818" i="52"/>
  <c r="K819" i="52"/>
  <c r="K820" i="52"/>
  <c r="K821" i="52"/>
  <c r="K822" i="52"/>
  <c r="K823" i="52"/>
  <c r="K824" i="52"/>
  <c r="K825" i="52"/>
  <c r="K826" i="52"/>
  <c r="K827" i="52"/>
  <c r="K828" i="52"/>
  <c r="K829" i="52"/>
  <c r="K830" i="52"/>
  <c r="K831" i="52"/>
  <c r="K832" i="52"/>
  <c r="K833" i="52"/>
  <c r="K834" i="52"/>
  <c r="K835" i="52"/>
  <c r="K836" i="52"/>
  <c r="K837" i="52"/>
  <c r="K838" i="52"/>
  <c r="K839" i="52"/>
  <c r="K840" i="52"/>
  <c r="K841" i="52"/>
  <c r="K842" i="52"/>
  <c r="K843" i="52"/>
  <c r="K844" i="52"/>
  <c r="K845" i="52"/>
  <c r="K846" i="52"/>
  <c r="K847" i="52"/>
  <c r="K848" i="52"/>
  <c r="K849" i="52"/>
  <c r="K850" i="52"/>
  <c r="K851" i="52"/>
  <c r="K852" i="52"/>
  <c r="K853" i="52"/>
  <c r="K854" i="52"/>
  <c r="K855" i="52"/>
  <c r="K856" i="52"/>
  <c r="K857" i="52"/>
  <c r="K858" i="52"/>
  <c r="K859" i="52"/>
  <c r="K860" i="52"/>
  <c r="K861" i="52"/>
  <c r="K862" i="52"/>
  <c r="K863" i="52"/>
  <c r="K864" i="52"/>
  <c r="K865" i="52"/>
  <c r="K866" i="52"/>
  <c r="K867" i="52"/>
  <c r="K868" i="52"/>
  <c r="K869" i="52"/>
  <c r="K870" i="52"/>
  <c r="K871" i="52"/>
  <c r="K872" i="52"/>
  <c r="K873" i="52"/>
  <c r="K874" i="52"/>
  <c r="K875" i="52"/>
  <c r="K876" i="52"/>
  <c r="K877" i="52"/>
  <c r="K878" i="52"/>
  <c r="K879" i="52"/>
  <c r="K880" i="52"/>
  <c r="K881" i="52"/>
  <c r="K882" i="52"/>
  <c r="K883" i="52"/>
  <c r="K884" i="52"/>
  <c r="K885" i="52"/>
  <c r="K886" i="52"/>
  <c r="K887" i="52"/>
  <c r="K888" i="52"/>
  <c r="K889" i="52"/>
  <c r="K890" i="52"/>
  <c r="K891" i="52"/>
  <c r="K892" i="52"/>
  <c r="K893" i="52"/>
  <c r="K894" i="52"/>
  <c r="K895" i="52"/>
  <c r="K896" i="52"/>
  <c r="K897" i="52"/>
  <c r="K898" i="52"/>
  <c r="K899" i="52"/>
  <c r="K900" i="52"/>
  <c r="K901" i="52"/>
  <c r="K902" i="52"/>
  <c r="K903" i="52"/>
  <c r="K904" i="52"/>
  <c r="K905" i="52"/>
  <c r="K906" i="52"/>
  <c r="K907" i="52"/>
  <c r="K908" i="52"/>
  <c r="K909" i="52"/>
  <c r="K910" i="52"/>
  <c r="K911" i="52"/>
  <c r="K912" i="52"/>
  <c r="K913" i="52"/>
  <c r="K914" i="52"/>
  <c r="K915" i="52"/>
  <c r="K916" i="52"/>
  <c r="K917" i="52"/>
  <c r="K918" i="52"/>
  <c r="K919" i="52"/>
  <c r="K920" i="52"/>
  <c r="K921" i="52"/>
  <c r="K922" i="52"/>
  <c r="K923" i="52"/>
  <c r="K924" i="52"/>
  <c r="K925" i="52"/>
  <c r="K926" i="52"/>
  <c r="K927" i="52"/>
  <c r="K928" i="52"/>
  <c r="K929" i="52"/>
  <c r="K930" i="52"/>
  <c r="K931" i="52"/>
  <c r="K932" i="52"/>
  <c r="K933" i="52"/>
  <c r="K934" i="52"/>
  <c r="K935" i="52"/>
  <c r="K936" i="52"/>
  <c r="K937" i="52"/>
  <c r="K938" i="52"/>
  <c r="K939" i="52"/>
  <c r="K940" i="52"/>
  <c r="K941" i="52"/>
  <c r="K942" i="52"/>
  <c r="K943" i="52"/>
  <c r="K944" i="52"/>
  <c r="K945" i="52"/>
  <c r="K946" i="52"/>
  <c r="K947" i="52"/>
  <c r="K948" i="52"/>
  <c r="K949" i="52"/>
  <c r="K950" i="52"/>
  <c r="K951" i="52"/>
  <c r="K952" i="52"/>
  <c r="K953" i="52"/>
  <c r="K954" i="52"/>
  <c r="K955" i="52"/>
  <c r="K956" i="52"/>
  <c r="K957" i="52"/>
  <c r="K958" i="52"/>
  <c r="K959" i="52"/>
  <c r="K960" i="52"/>
  <c r="K961" i="52"/>
  <c r="K962" i="52"/>
  <c r="K963" i="52"/>
  <c r="K964" i="52"/>
  <c r="K965" i="52"/>
  <c r="K966" i="52"/>
  <c r="K967" i="52"/>
  <c r="K968" i="52"/>
  <c r="K969" i="52"/>
  <c r="K970" i="52"/>
  <c r="K971" i="52"/>
  <c r="K972" i="52"/>
  <c r="K973" i="52"/>
  <c r="K974" i="52"/>
  <c r="K975" i="52"/>
  <c r="K976" i="52"/>
  <c r="K977" i="52"/>
  <c r="K978" i="52"/>
  <c r="K979" i="52"/>
  <c r="K980" i="52"/>
  <c r="K981" i="52"/>
  <c r="K982" i="52"/>
  <c r="K983" i="52"/>
  <c r="K984" i="52"/>
  <c r="K985" i="52"/>
  <c r="K986" i="52"/>
  <c r="K987" i="52"/>
  <c r="K988" i="52"/>
  <c r="K989" i="52"/>
  <c r="K990" i="52"/>
  <c r="K991" i="52"/>
  <c r="K992" i="52"/>
  <c r="K993" i="52"/>
  <c r="K994" i="52"/>
  <c r="K995" i="52"/>
  <c r="K996" i="52"/>
  <c r="K997" i="52"/>
  <c r="K998" i="52"/>
  <c r="K999" i="52"/>
  <c r="K1000" i="52"/>
  <c r="K1001" i="52"/>
  <c r="K1002" i="52"/>
  <c r="K1003" i="52"/>
  <c r="K1004" i="52"/>
  <c r="K1005" i="52"/>
  <c r="K1006" i="52"/>
  <c r="K1007" i="52"/>
  <c r="K1008" i="52"/>
  <c r="K1009" i="52"/>
  <c r="K1010" i="52"/>
  <c r="K1011" i="52"/>
  <c r="K1012" i="52"/>
  <c r="K1013" i="52"/>
  <c r="K1014" i="52"/>
  <c r="K1015" i="52"/>
  <c r="K1016" i="52"/>
  <c r="K1017" i="52"/>
  <c r="K1018" i="52"/>
  <c r="K1019" i="52"/>
  <c r="K1020" i="52"/>
  <c r="K1021" i="52"/>
  <c r="K1022" i="52"/>
  <c r="K1023" i="52"/>
  <c r="K1024" i="52"/>
  <c r="N20" i="51"/>
  <c r="N24" i="51" s="1"/>
  <c r="O20" i="51"/>
  <c r="P20" i="51"/>
  <c r="Q20" i="51"/>
  <c r="N21" i="51"/>
  <c r="N46" i="51" s="1"/>
  <c r="O21" i="51"/>
  <c r="P21" i="51"/>
  <c r="P24" i="51" s="1"/>
  <c r="Q21" i="51"/>
  <c r="N22" i="51"/>
  <c r="O22" i="51"/>
  <c r="O24" i="51" s="1"/>
  <c r="P22" i="51"/>
  <c r="Q22" i="51"/>
  <c r="N23" i="51"/>
  <c r="N47" i="51" s="1"/>
  <c r="O23" i="51"/>
  <c r="P23" i="51"/>
  <c r="Q23" i="51"/>
  <c r="Q24" i="51"/>
  <c r="N28" i="51"/>
  <c r="N38" i="51" s="1"/>
  <c r="N40" i="51" s="1"/>
  <c r="O28" i="51"/>
  <c r="O32" i="51" s="1"/>
  <c r="N29" i="51"/>
  <c r="O29" i="51"/>
  <c r="N30" i="51"/>
  <c r="O45" i="51" s="1"/>
  <c r="O48" i="51" s="1"/>
  <c r="M52" i="51" s="1"/>
  <c r="O30" i="51"/>
  <c r="N31" i="51"/>
  <c r="O47" i="51" s="1"/>
  <c r="O31" i="51"/>
  <c r="M38" i="51"/>
  <c r="M40" i="51" s="1"/>
  <c r="M39" i="51"/>
  <c r="N39" i="51"/>
  <c r="M45" i="51"/>
  <c r="N45" i="51"/>
  <c r="M46" i="51"/>
  <c r="O46" i="51"/>
  <c r="M47" i="51"/>
  <c r="M55" i="51"/>
  <c r="J27" i="50" a="1"/>
  <c r="J27" i="50" s="1"/>
  <c r="J28" i="50" a="1"/>
  <c r="J28" i="50" s="1"/>
  <c r="J21" i="49"/>
  <c r="J22" i="49"/>
  <c r="J23" i="49"/>
  <c r="J32" i="49" s="1"/>
  <c r="J26" i="49"/>
  <c r="J27" i="49"/>
  <c r="J28" i="49" s="1"/>
  <c r="J29" i="49"/>
  <c r="J36" i="49"/>
  <c r="J40" i="49"/>
  <c r="N20" i="43"/>
  <c r="N24" i="43" s="1"/>
  <c r="O20" i="43"/>
  <c r="O24" i="43" s="1"/>
  <c r="P20" i="43"/>
  <c r="P24" i="43" s="1"/>
  <c r="Q20" i="43"/>
  <c r="N21" i="43"/>
  <c r="O21" i="43"/>
  <c r="P21" i="43"/>
  <c r="Q21" i="43"/>
  <c r="Q24" i="43" s="1"/>
  <c r="N22" i="43"/>
  <c r="O22" i="43"/>
  <c r="P22" i="43"/>
  <c r="Q22" i="43"/>
  <c r="N23" i="43"/>
  <c r="O23" i="43"/>
  <c r="P23" i="43"/>
  <c r="Q23" i="43"/>
  <c r="N28" i="43"/>
  <c r="N32" i="43" s="1"/>
  <c r="O28" i="43"/>
  <c r="O32" i="43" s="1"/>
  <c r="N29" i="43"/>
  <c r="O29" i="43"/>
  <c r="N30" i="43"/>
  <c r="O30" i="43"/>
  <c r="N31" i="43"/>
  <c r="O31" i="43"/>
  <c r="K20" i="39"/>
  <c r="L20" i="39"/>
  <c r="M20" i="39"/>
  <c r="K21" i="39"/>
  <c r="L21" i="39"/>
  <c r="M21" i="39"/>
  <c r="N21" i="39"/>
  <c r="M34" i="39" s="1"/>
  <c r="K22" i="39"/>
  <c r="L22" i="39"/>
  <c r="M22" i="39"/>
  <c r="K23" i="39"/>
  <c r="L23" i="39"/>
  <c r="M23" i="39"/>
  <c r="K24" i="39"/>
  <c r="L24" i="39"/>
  <c r="N20" i="39" s="1"/>
  <c r="M24" i="39"/>
  <c r="N23" i="39" s="1"/>
  <c r="K33" i="39"/>
  <c r="L33" i="39"/>
  <c r="O33" i="39" s="1"/>
  <c r="L44" i="39" s="1"/>
  <c r="N33" i="39"/>
  <c r="K34" i="39"/>
  <c r="L34" i="39"/>
  <c r="N34" i="39"/>
  <c r="O34" i="39"/>
  <c r="K35" i="39"/>
  <c r="L35" i="39"/>
  <c r="O35" i="39" s="1"/>
  <c r="L46" i="39" s="1"/>
  <c r="N35" i="39"/>
  <c r="K36" i="39"/>
  <c r="O36" i="39" s="1"/>
  <c r="L47" i="39" s="1"/>
  <c r="L36" i="39"/>
  <c r="N36" i="39"/>
  <c r="N44" i="39"/>
  <c r="L45" i="39"/>
  <c r="N45" i="39"/>
  <c r="N46" i="39"/>
  <c r="N47" i="39"/>
  <c r="J66" i="39"/>
  <c r="J72" i="39"/>
  <c r="J83" i="39"/>
  <c r="D26" i="38"/>
  <c r="D30" i="38" s="1"/>
  <c r="F26" i="38"/>
  <c r="F30" i="38" s="1"/>
  <c r="E36" i="38"/>
  <c r="F36" i="38"/>
  <c r="G36" i="38"/>
  <c r="I36" i="38"/>
  <c r="J36" i="38"/>
  <c r="K36" i="38"/>
  <c r="D39" i="38"/>
  <c r="D43" i="38" s="1"/>
  <c r="F39" i="38"/>
  <c r="G40" i="38" s="1"/>
  <c r="H39" i="38"/>
  <c r="H43" i="38" s="1"/>
  <c r="D40" i="38"/>
  <c r="H27" i="37"/>
  <c r="I27" i="37"/>
  <c r="I28" i="37"/>
  <c r="H28" i="37" s="1"/>
  <c r="I29" i="37"/>
  <c r="H29" i="37" s="1"/>
  <c r="I30" i="37"/>
  <c r="H30" i="37" s="1"/>
  <c r="D44" i="37"/>
  <c r="E44" i="37"/>
  <c r="F44" i="37"/>
  <c r="G44" i="37"/>
  <c r="H44" i="37"/>
  <c r="J44" i="37" s="1"/>
  <c r="D51" i="37" s="1"/>
  <c r="I44" i="37"/>
  <c r="D45" i="37"/>
  <c r="J45" i="37" s="1"/>
  <c r="D52" i="37" s="1"/>
  <c r="E45" i="37"/>
  <c r="F45" i="37"/>
  <c r="G45" i="37"/>
  <c r="H45" i="37"/>
  <c r="I45" i="37"/>
  <c r="D46" i="37"/>
  <c r="E46" i="37"/>
  <c r="G46" i="37" s="1"/>
  <c r="J46" i="37" s="1"/>
  <c r="D53" i="37" s="1"/>
  <c r="F46" i="37"/>
  <c r="H46" i="37"/>
  <c r="I46" i="37"/>
  <c r="D47" i="37"/>
  <c r="J47" i="37" s="1"/>
  <c r="D54" i="37" s="1"/>
  <c r="E47" i="37"/>
  <c r="G47" i="37" s="1"/>
  <c r="F47" i="37"/>
  <c r="H47" i="37"/>
  <c r="I47" i="37"/>
  <c r="I26" i="36"/>
  <c r="I28" i="36"/>
  <c r="I31" i="36"/>
  <c r="I33" i="36"/>
  <c r="I34" i="36" s="1"/>
  <c r="P11" i="35"/>
  <c r="K13" i="35"/>
  <c r="L13" i="35"/>
  <c r="L16" i="35" s="1"/>
  <c r="M13" i="35"/>
  <c r="M16" i="35" s="1"/>
  <c r="N13" i="35"/>
  <c r="O13" i="35"/>
  <c r="O16" i="35" s="1"/>
  <c r="K14" i="35"/>
  <c r="L14" i="35"/>
  <c r="M14" i="35"/>
  <c r="N14" i="35"/>
  <c r="K16" i="35"/>
  <c r="N16" i="35"/>
  <c r="J31" i="34"/>
  <c r="L32" i="34" s="1"/>
  <c r="K31" i="34"/>
  <c r="K32" i="34" s="1"/>
  <c r="L31" i="34"/>
  <c r="J37" i="34"/>
  <c r="K37" i="34"/>
  <c r="L37" i="34"/>
  <c r="K38" i="34"/>
  <c r="L38" i="34"/>
  <c r="L40" i="34"/>
  <c r="K15" i="33"/>
  <c r="K21" i="33" s="1"/>
  <c r="L15" i="33"/>
  <c r="L21" i="33" s="1"/>
  <c r="M15" i="33"/>
  <c r="M21" i="33" s="1"/>
  <c r="K16" i="33"/>
  <c r="L16" i="33"/>
  <c r="M16" i="33"/>
  <c r="K17" i="33"/>
  <c r="L17" i="33"/>
  <c r="M17" i="33"/>
  <c r="K18" i="33"/>
  <c r="L18" i="33"/>
  <c r="M18" i="33"/>
  <c r="K19" i="33"/>
  <c r="L19" i="33"/>
  <c r="M19" i="33"/>
  <c r="K20" i="33"/>
  <c r="L20" i="33"/>
  <c r="M20" i="33"/>
  <c r="K25" i="33"/>
  <c r="L25" i="33"/>
  <c r="M25" i="33"/>
  <c r="K26" i="33"/>
  <c r="L26" i="33"/>
  <c r="M26" i="33"/>
  <c r="K27" i="33"/>
  <c r="K29" i="33" s="1"/>
  <c r="K30" i="33" s="1"/>
  <c r="L27" i="33"/>
  <c r="L29" i="33" s="1"/>
  <c r="L30" i="33" s="1"/>
  <c r="L70" i="33" s="1"/>
  <c r="M27" i="33"/>
  <c r="K28" i="33"/>
  <c r="L28" i="33"/>
  <c r="M28" i="33"/>
  <c r="M29" i="33"/>
  <c r="M30" i="33" s="1"/>
  <c r="M70" i="33" s="1"/>
  <c r="K31" i="33"/>
  <c r="K81" i="33" s="1"/>
  <c r="L31" i="33"/>
  <c r="M31" i="33"/>
  <c r="K32" i="33"/>
  <c r="L32" i="33"/>
  <c r="M32" i="33"/>
  <c r="K33" i="33"/>
  <c r="L33" i="33"/>
  <c r="M33" i="33"/>
  <c r="K34" i="33"/>
  <c r="L34" i="33"/>
  <c r="L35" i="33" s="1"/>
  <c r="L36" i="33" s="1"/>
  <c r="L71" i="33" s="1"/>
  <c r="M34" i="33"/>
  <c r="M35" i="33" s="1"/>
  <c r="M36" i="33" s="1"/>
  <c r="M71" i="33" s="1"/>
  <c r="K35" i="33"/>
  <c r="K36" i="33" s="1"/>
  <c r="K37" i="33"/>
  <c r="K82" i="33" s="1"/>
  <c r="L37" i="33"/>
  <c r="L82" i="33" s="1"/>
  <c r="M37" i="33"/>
  <c r="M82" i="33" s="1"/>
  <c r="K38" i="33"/>
  <c r="L38" i="33"/>
  <c r="M38" i="33"/>
  <c r="K39" i="33"/>
  <c r="L39" i="33"/>
  <c r="M39" i="33"/>
  <c r="K40" i="33"/>
  <c r="L40" i="33"/>
  <c r="M40" i="33"/>
  <c r="K41" i="33"/>
  <c r="K42" i="33" s="1"/>
  <c r="L41" i="33"/>
  <c r="L42" i="33" s="1"/>
  <c r="L72" i="33" s="1"/>
  <c r="M41" i="33"/>
  <c r="M42" i="33"/>
  <c r="K43" i="33"/>
  <c r="L43" i="33"/>
  <c r="M43" i="33"/>
  <c r="K44" i="33"/>
  <c r="L44" i="33"/>
  <c r="M44" i="33"/>
  <c r="K45" i="33"/>
  <c r="K46" i="33" s="1"/>
  <c r="K47" i="33" s="1"/>
  <c r="N47" i="33" s="1"/>
  <c r="L45" i="33"/>
  <c r="M45" i="33"/>
  <c r="M46" i="33" s="1"/>
  <c r="M47" i="33" s="1"/>
  <c r="M73" i="33" s="1"/>
  <c r="L46" i="33"/>
  <c r="L47" i="33" s="1"/>
  <c r="L73" i="33" s="1"/>
  <c r="K48" i="33"/>
  <c r="L48" i="33"/>
  <c r="L84" i="33" s="1"/>
  <c r="M48" i="33"/>
  <c r="M84" i="33" s="1"/>
  <c r="K49" i="33"/>
  <c r="L49" i="33"/>
  <c r="M49" i="33"/>
  <c r="K50" i="33"/>
  <c r="K52" i="33" s="1"/>
  <c r="K53" i="33" s="1"/>
  <c r="L50" i="33"/>
  <c r="M50" i="33"/>
  <c r="K51" i="33"/>
  <c r="L51" i="33"/>
  <c r="M51" i="33"/>
  <c r="L52" i="33"/>
  <c r="L53" i="33" s="1"/>
  <c r="L74" i="33" s="1"/>
  <c r="M52" i="33"/>
  <c r="M53" i="33" s="1"/>
  <c r="M74" i="33" s="1"/>
  <c r="K54" i="33"/>
  <c r="L54" i="33"/>
  <c r="M54" i="33"/>
  <c r="K55" i="33"/>
  <c r="L55" i="33"/>
  <c r="M55" i="33"/>
  <c r="K56" i="33"/>
  <c r="L56" i="33"/>
  <c r="M56" i="33"/>
  <c r="K57" i="33"/>
  <c r="K58" i="33" s="1"/>
  <c r="K59" i="33" s="1"/>
  <c r="L57" i="33"/>
  <c r="L58" i="33" s="1"/>
  <c r="L59" i="33" s="1"/>
  <c r="M57" i="33"/>
  <c r="M58" i="33" s="1"/>
  <c r="M59" i="33" s="1"/>
  <c r="K70" i="33"/>
  <c r="K71" i="33"/>
  <c r="K72" i="33"/>
  <c r="M72" i="33"/>
  <c r="K73" i="33"/>
  <c r="K74" i="33"/>
  <c r="K75" i="33"/>
  <c r="K80" i="33"/>
  <c r="K88" i="33" s="1"/>
  <c r="L80" i="33"/>
  <c r="M80" i="33"/>
  <c r="L81" i="33"/>
  <c r="M81" i="33"/>
  <c r="K83" i="33"/>
  <c r="L83" i="33"/>
  <c r="M83" i="33"/>
  <c r="K84" i="33"/>
  <c r="K85" i="33"/>
  <c r="L85" i="33"/>
  <c r="M85" i="33"/>
  <c r="I25" i="32"/>
  <c r="L28" i="32" s="1"/>
  <c r="M28" i="32" s="1"/>
  <c r="N28" i="32" s="1"/>
  <c r="J31" i="31"/>
  <c r="S31" i="31" s="1"/>
  <c r="K31" i="31"/>
  <c r="M31" i="31"/>
  <c r="J32" i="31"/>
  <c r="S32" i="31"/>
  <c r="J33" i="31"/>
  <c r="L33" i="31" s="1"/>
  <c r="K34" i="31"/>
  <c r="M34" i="31"/>
  <c r="N34" i="31"/>
  <c r="M35" i="31"/>
  <c r="N35" i="31"/>
  <c r="K36" i="31"/>
  <c r="N36" i="31"/>
  <c r="D37" i="31"/>
  <c r="D38" i="31" s="1"/>
  <c r="K33" i="31" s="1"/>
  <c r="E37" i="31"/>
  <c r="E38" i="31" s="1"/>
  <c r="M33" i="31" s="1"/>
  <c r="D40" i="31"/>
  <c r="K35" i="31" s="1"/>
  <c r="E40" i="31"/>
  <c r="E41" i="31" s="1"/>
  <c r="M36" i="31" s="1"/>
  <c r="J49" i="31"/>
  <c r="T49" i="31" s="1"/>
  <c r="K49" i="31"/>
  <c r="M49" i="31"/>
  <c r="J52" i="31" s="1"/>
  <c r="O49" i="31"/>
  <c r="J50" i="31"/>
  <c r="K50" i="31"/>
  <c r="M50" i="31"/>
  <c r="N50" i="31"/>
  <c r="U50" i="31" s="1"/>
  <c r="Q50" i="31" s="1"/>
  <c r="O50" i="31"/>
  <c r="T50" i="31"/>
  <c r="J51" i="31"/>
  <c r="K51" i="31"/>
  <c r="M51" i="31"/>
  <c r="N51" i="31" s="1"/>
  <c r="U51" i="31" s="1"/>
  <c r="Q51" i="31" s="1"/>
  <c r="O51" i="31"/>
  <c r="T51" i="31"/>
  <c r="D52" i="31"/>
  <c r="E52" i="31"/>
  <c r="K52" i="31"/>
  <c r="M52" i="31"/>
  <c r="O52" i="31"/>
  <c r="P52" i="31"/>
  <c r="D53" i="31"/>
  <c r="E53" i="31"/>
  <c r="K53" i="31"/>
  <c r="M53" i="31" s="1"/>
  <c r="O53" i="31"/>
  <c r="P53" i="31"/>
  <c r="K54" i="31"/>
  <c r="M54" i="31"/>
  <c r="O54" i="31"/>
  <c r="P54" i="31"/>
  <c r="D55" i="31"/>
  <c r="E55" i="31"/>
  <c r="E56" i="31"/>
  <c r="J64" i="31"/>
  <c r="T64" i="31" s="1"/>
  <c r="K64" i="31"/>
  <c r="M64" i="31"/>
  <c r="J67" i="31" s="1"/>
  <c r="O64" i="31"/>
  <c r="J65" i="31"/>
  <c r="K65" i="31"/>
  <c r="M65" i="31"/>
  <c r="N65" i="31"/>
  <c r="U65" i="31" s="1"/>
  <c r="Q65" i="31" s="1"/>
  <c r="O65" i="31"/>
  <c r="T65" i="31"/>
  <c r="J66" i="31"/>
  <c r="K66" i="31"/>
  <c r="M66" i="31"/>
  <c r="N66" i="31" s="1"/>
  <c r="U66" i="31" s="1"/>
  <c r="Q66" i="31" s="1"/>
  <c r="O66" i="31"/>
  <c r="T66" i="31"/>
  <c r="D67" i="31"/>
  <c r="E67" i="31"/>
  <c r="K67" i="31"/>
  <c r="M67" i="31"/>
  <c r="O67" i="31"/>
  <c r="P67" i="31"/>
  <c r="D68" i="31"/>
  <c r="E68" i="31"/>
  <c r="K68" i="31"/>
  <c r="M68" i="31" s="1"/>
  <c r="O68" i="31"/>
  <c r="P68" i="31"/>
  <c r="K69" i="31"/>
  <c r="M69" i="31"/>
  <c r="O69" i="31"/>
  <c r="P69" i="31"/>
  <c r="D70" i="31"/>
  <c r="E70" i="31"/>
  <c r="E71" i="31"/>
  <c r="J79" i="31"/>
  <c r="T79" i="31" s="1"/>
  <c r="K79" i="31"/>
  <c r="M79" i="31"/>
  <c r="J82" i="31" s="1"/>
  <c r="O79" i="31"/>
  <c r="J80" i="31"/>
  <c r="K80" i="31"/>
  <c r="M80" i="31"/>
  <c r="N80" i="31"/>
  <c r="U80" i="31" s="1"/>
  <c r="Q80" i="31" s="1"/>
  <c r="O80" i="31"/>
  <c r="T80" i="31"/>
  <c r="J81" i="31"/>
  <c r="K81" i="31"/>
  <c r="M81" i="31"/>
  <c r="N81" i="31" s="1"/>
  <c r="U81" i="31" s="1"/>
  <c r="Q81" i="31" s="1"/>
  <c r="O81" i="31"/>
  <c r="T81" i="31"/>
  <c r="D82" i="31"/>
  <c r="E82" i="31"/>
  <c r="K82" i="31"/>
  <c r="M82" i="31"/>
  <c r="O82" i="31"/>
  <c r="P82" i="31"/>
  <c r="D83" i="31"/>
  <c r="E83" i="31"/>
  <c r="K83" i="31"/>
  <c r="M83" i="31" s="1"/>
  <c r="O83" i="31"/>
  <c r="P83" i="31"/>
  <c r="K84" i="31"/>
  <c r="M84" i="31"/>
  <c r="O84" i="31"/>
  <c r="P84" i="31"/>
  <c r="D85" i="31"/>
  <c r="E85" i="31"/>
  <c r="E86" i="31"/>
  <c r="I26" i="30"/>
  <c r="I27" i="30"/>
  <c r="I31" i="30" s="1"/>
  <c r="I37" i="30" s="1"/>
  <c r="I30" i="30"/>
  <c r="I36" i="30" s="1"/>
  <c r="I39" i="30" s="1"/>
  <c r="I33" i="30"/>
  <c r="I38" i="30" s="1"/>
  <c r="I52" i="30"/>
  <c r="I53" i="30"/>
  <c r="I56" i="30"/>
  <c r="I62" i="30" s="1"/>
  <c r="I57" i="30"/>
  <c r="I63" i="30" s="1"/>
  <c r="I59" i="30"/>
  <c r="I64" i="30" s="1"/>
  <c r="F10" i="29"/>
  <c r="F11" i="29"/>
  <c r="C47" i="29" s="1"/>
  <c r="C24" i="29"/>
  <c r="C25" i="29"/>
  <c r="C26" i="29"/>
  <c r="C29" i="29"/>
  <c r="C33" i="29" s="1"/>
  <c r="D40" i="29"/>
  <c r="C39" i="29" s="1"/>
  <c r="D41" i="29"/>
  <c r="C46" i="29"/>
  <c r="I17" i="28"/>
  <c r="J17" i="28"/>
  <c r="I18" i="28"/>
  <c r="J18" i="28"/>
  <c r="I19" i="28"/>
  <c r="J19" i="28"/>
  <c r="I20" i="28"/>
  <c r="J20" i="28"/>
  <c r="I21" i="28"/>
  <c r="J21" i="28"/>
  <c r="I22" i="28"/>
  <c r="J22" i="28"/>
  <c r="I23" i="28"/>
  <c r="J23" i="28"/>
  <c r="I24" i="28"/>
  <c r="J24" i="28"/>
  <c r="I25" i="28"/>
  <c r="J25" i="28"/>
  <c r="I26" i="28"/>
  <c r="J26" i="28"/>
  <c r="I27" i="28"/>
  <c r="J27" i="28"/>
  <c r="I28" i="28"/>
  <c r="J28" i="28"/>
  <c r="I29" i="28"/>
  <c r="J29" i="28"/>
  <c r="I30" i="28"/>
  <c r="J30" i="28"/>
  <c r="I31" i="28"/>
  <c r="J31" i="28"/>
  <c r="I32" i="28"/>
  <c r="J32" i="28"/>
  <c r="I33" i="28"/>
  <c r="J33" i="28"/>
  <c r="I34" i="28"/>
  <c r="J34" i="28"/>
  <c r="I35" i="28"/>
  <c r="J35" i="28"/>
  <c r="I36" i="28"/>
  <c r="J36" i="28"/>
  <c r="I37" i="28"/>
  <c r="J37" i="28"/>
  <c r="I38" i="28"/>
  <c r="J38" i="28"/>
  <c r="I39" i="28"/>
  <c r="J39" i="28"/>
  <c r="I40" i="28"/>
  <c r="J40" i="28"/>
  <c r="I41" i="28"/>
  <c r="J41" i="28"/>
  <c r="I42" i="28"/>
  <c r="J42" i="28"/>
  <c r="M27" i="27"/>
  <c r="R27" i="27" s="1"/>
  <c r="R33" i="27" s="1"/>
  <c r="N27" i="27"/>
  <c r="O27" i="27"/>
  <c r="M28" i="27"/>
  <c r="R28" i="27" s="1"/>
  <c r="N28" i="27"/>
  <c r="O28" i="27"/>
  <c r="M29" i="27"/>
  <c r="N29" i="27"/>
  <c r="O29" i="27"/>
  <c r="R29" i="27"/>
  <c r="M30" i="27"/>
  <c r="R30" i="27" s="1"/>
  <c r="N30" i="27"/>
  <c r="O30" i="27"/>
  <c r="M31" i="27"/>
  <c r="N31" i="27"/>
  <c r="P31" i="27"/>
  <c r="Q31" i="27"/>
  <c r="R31" i="27"/>
  <c r="M32" i="27"/>
  <c r="N32" i="27"/>
  <c r="P32" i="27"/>
  <c r="Q32" i="27"/>
  <c r="R32" i="27"/>
  <c r="M37" i="27"/>
  <c r="R37" i="27" s="1"/>
  <c r="N37" i="27"/>
  <c r="O37" i="27"/>
  <c r="M38" i="27"/>
  <c r="N38" i="27"/>
  <c r="O38" i="27"/>
  <c r="R38" i="27" s="1"/>
  <c r="M39" i="27"/>
  <c r="N39" i="27"/>
  <c r="O39" i="27"/>
  <c r="R39" i="27" s="1"/>
  <c r="M40" i="27"/>
  <c r="R40" i="27" s="1"/>
  <c r="N40" i="27"/>
  <c r="O40" i="27"/>
  <c r="M41" i="27"/>
  <c r="N41" i="27"/>
  <c r="P41" i="27"/>
  <c r="Q41" i="27"/>
  <c r="R41" i="27"/>
  <c r="M42" i="27"/>
  <c r="N42" i="27"/>
  <c r="R42" i="27" s="1"/>
  <c r="P42" i="27"/>
  <c r="Q42" i="27"/>
  <c r="M27" i="26"/>
  <c r="N27" i="26"/>
  <c r="M28" i="26"/>
  <c r="N28" i="26"/>
  <c r="M35" i="26"/>
  <c r="M36" i="26"/>
  <c r="M41" i="26"/>
  <c r="N41" i="26"/>
  <c r="M43" i="26"/>
  <c r="N43" i="26"/>
  <c r="M45" i="26"/>
  <c r="N45" i="26" s="1"/>
  <c r="J18" i="25"/>
  <c r="K18" i="25"/>
  <c r="L18" i="25"/>
  <c r="M18" i="25"/>
  <c r="J19" i="25"/>
  <c r="L29" i="25" s="1"/>
  <c r="K19" i="25"/>
  <c r="K21" i="25" s="1"/>
  <c r="L19" i="25"/>
  <c r="L30" i="25" s="1"/>
  <c r="M19" i="25"/>
  <c r="M21" i="25" s="1"/>
  <c r="J20" i="25"/>
  <c r="N20" i="25" s="1"/>
  <c r="K20" i="25"/>
  <c r="K56" i="25" s="1"/>
  <c r="L20" i="25"/>
  <c r="M20" i="25"/>
  <c r="K30" i="25"/>
  <c r="J55" i="25"/>
  <c r="J57" i="25" s="1"/>
  <c r="J56" i="25"/>
  <c r="L56" i="25"/>
  <c r="M56" i="25"/>
  <c r="K64" i="25"/>
  <c r="L22" i="24"/>
  <c r="L26" i="24"/>
  <c r="L27" i="24"/>
  <c r="L28" i="24"/>
  <c r="L29" i="24"/>
  <c r="L30" i="24"/>
  <c r="L31" i="24"/>
  <c r="L35" i="24" s="1"/>
  <c r="L32" i="24"/>
  <c r="L33" i="24"/>
  <c r="L34" i="24"/>
  <c r="L39" i="24"/>
  <c r="L46" i="24"/>
  <c r="M46" i="24"/>
  <c r="L47" i="24"/>
  <c r="M47" i="24"/>
  <c r="L48" i="24"/>
  <c r="M48" i="24"/>
  <c r="M49" i="24"/>
  <c r="L53" i="24"/>
  <c r="L30" i="23"/>
  <c r="M30" i="23"/>
  <c r="Q30" i="23" s="1"/>
  <c r="N30" i="23"/>
  <c r="O30" i="23"/>
  <c r="P30" i="23"/>
  <c r="L31" i="23"/>
  <c r="M31" i="23"/>
  <c r="Q31" i="23" s="1"/>
  <c r="N31" i="23"/>
  <c r="O31" i="23"/>
  <c r="P31" i="23"/>
  <c r="L32" i="23"/>
  <c r="M32" i="23"/>
  <c r="N32" i="23"/>
  <c r="R32" i="23" s="1"/>
  <c r="O32" i="23"/>
  <c r="P32" i="23"/>
  <c r="Q32" i="23"/>
  <c r="S32" i="23" s="1"/>
  <c r="L45" i="23"/>
  <c r="U45" i="23" s="1"/>
  <c r="M45" i="23"/>
  <c r="N45" i="23"/>
  <c r="O45" i="23"/>
  <c r="P45" i="23"/>
  <c r="Q45" i="23"/>
  <c r="S45" i="23" s="1"/>
  <c r="R45" i="23"/>
  <c r="T45" i="23"/>
  <c r="L46" i="23"/>
  <c r="V46" i="23" s="1"/>
  <c r="X46" i="23" s="1"/>
  <c r="Y46" i="23" s="1"/>
  <c r="M46" i="23"/>
  <c r="N46" i="23"/>
  <c r="O46" i="23"/>
  <c r="P46" i="23"/>
  <c r="Q46" i="23"/>
  <c r="R46" i="23"/>
  <c r="S46" i="23"/>
  <c r="T46" i="23"/>
  <c r="L47" i="23"/>
  <c r="M47" i="23"/>
  <c r="N47" i="23"/>
  <c r="O47" i="23"/>
  <c r="P47" i="23"/>
  <c r="Q47" i="23"/>
  <c r="S47" i="23" s="1"/>
  <c r="W47" i="23" s="1"/>
  <c r="R47" i="23"/>
  <c r="T47" i="23"/>
  <c r="U47" i="23"/>
  <c r="V47" i="23"/>
  <c r="X47" i="23" s="1"/>
  <c r="Y47" i="23" s="1"/>
  <c r="C21" i="22"/>
  <c r="J33" i="22"/>
  <c r="M41" i="22" s="1"/>
  <c r="L49" i="22" s="1"/>
  <c r="K33" i="22"/>
  <c r="M42" i="22" s="1"/>
  <c r="L50" i="22" s="1"/>
  <c r="L33" i="22"/>
  <c r="I41" i="22"/>
  <c r="K41" i="22"/>
  <c r="L41" i="22"/>
  <c r="I42" i="22"/>
  <c r="K42" i="22"/>
  <c r="L42" i="22"/>
  <c r="I43" i="22"/>
  <c r="K43" i="22"/>
  <c r="L43" i="22"/>
  <c r="M43" i="22"/>
  <c r="I44" i="22"/>
  <c r="K44" i="22"/>
  <c r="L54" i="22" s="1"/>
  <c r="L44" i="22"/>
  <c r="L55" i="22" s="1"/>
  <c r="M44" i="22"/>
  <c r="L51" i="22"/>
  <c r="I19" i="21"/>
  <c r="I21" i="21" s="1"/>
  <c r="I20" i="21"/>
  <c r="I29" i="21"/>
  <c r="I40" i="21"/>
  <c r="J40" i="21"/>
  <c r="K43" i="21" s="1"/>
  <c r="I46" i="21" s="1"/>
  <c r="K40" i="21"/>
  <c r="M40" i="21"/>
  <c r="I41" i="21"/>
  <c r="J41" i="21"/>
  <c r="K41" i="21"/>
  <c r="M41" i="21"/>
  <c r="I42" i="21"/>
  <c r="J42" i="21"/>
  <c r="K42" i="21"/>
  <c r="M42" i="21"/>
  <c r="M43" i="21"/>
  <c r="I47" i="21" s="1"/>
  <c r="I50" i="21"/>
  <c r="I27" i="19"/>
  <c r="H27" i="19" s="1"/>
  <c r="I28" i="19"/>
  <c r="H28" i="19" s="1"/>
  <c r="I29" i="19"/>
  <c r="H29" i="19" s="1"/>
  <c r="I30" i="19"/>
  <c r="H30" i="19" s="1"/>
  <c r="D37" i="13"/>
  <c r="D38" i="13" s="1"/>
  <c r="E37" i="13"/>
  <c r="E38" i="13" s="1"/>
  <c r="D40" i="13"/>
  <c r="E40" i="13"/>
  <c r="E41" i="13" s="1"/>
  <c r="D52" i="13"/>
  <c r="E52" i="13"/>
  <c r="D53" i="13"/>
  <c r="E53" i="13"/>
  <c r="D55" i="13"/>
  <c r="E55" i="13"/>
  <c r="E56" i="13" s="1"/>
  <c r="D67" i="13"/>
  <c r="E67" i="13"/>
  <c r="D68" i="13"/>
  <c r="E68" i="13"/>
  <c r="D70" i="13"/>
  <c r="E70" i="13"/>
  <c r="E71" i="13" s="1"/>
  <c r="D82" i="13"/>
  <c r="E82" i="13"/>
  <c r="E83" i="13" s="1"/>
  <c r="D83" i="13"/>
  <c r="D85" i="13"/>
  <c r="E85" i="13"/>
  <c r="E86" i="13"/>
  <c r="F10" i="11"/>
  <c r="F11" i="11"/>
  <c r="C21" i="4"/>
  <c r="L58" i="68" l="1"/>
  <c r="L62" i="68"/>
  <c r="K58" i="68"/>
  <c r="K62" i="68"/>
  <c r="K65" i="72"/>
  <c r="L65" i="72"/>
  <c r="K45" i="70"/>
  <c r="K46" i="70" s="1"/>
  <c r="J45" i="70"/>
  <c r="J46" i="70" s="1"/>
  <c r="K53" i="71"/>
  <c r="M55" i="71"/>
  <c r="M62" i="71" s="1"/>
  <c r="Q33" i="72"/>
  <c r="Q35" i="72" s="1"/>
  <c r="K39" i="72" s="1"/>
  <c r="L55" i="71"/>
  <c r="L62" i="71" s="1"/>
  <c r="J55" i="68"/>
  <c r="J56" i="68" s="1"/>
  <c r="J45" i="66"/>
  <c r="K46" i="66" s="1"/>
  <c r="K53" i="66" s="1"/>
  <c r="O67" i="52"/>
  <c r="E49" i="54"/>
  <c r="E52" i="54" s="1"/>
  <c r="E51" i="54"/>
  <c r="N48" i="51"/>
  <c r="M50" i="51" s="1"/>
  <c r="M42" i="51"/>
  <c r="U23" i="52"/>
  <c r="X55" i="55"/>
  <c r="S44" i="52"/>
  <c r="J33" i="49"/>
  <c r="J34" i="49" s="1"/>
  <c r="J35" i="49" s="1"/>
  <c r="J37" i="49" s="1"/>
  <c r="J38" i="49" s="1"/>
  <c r="J41" i="49" s="1"/>
  <c r="P45" i="52"/>
  <c r="X60" i="55"/>
  <c r="O45" i="52"/>
  <c r="T23" i="52"/>
  <c r="T43" i="52"/>
  <c r="T44" i="52" s="1"/>
  <c r="T46" i="52" s="1"/>
  <c r="T47" i="52" s="1"/>
  <c r="T48" i="52" s="1"/>
  <c r="T45" i="52"/>
  <c r="P86" i="55"/>
  <c r="P84" i="55"/>
  <c r="P82" i="55"/>
  <c r="P80" i="55"/>
  <c r="P78" i="55"/>
  <c r="P76" i="55"/>
  <c r="P74" i="55"/>
  <c r="P72" i="55"/>
  <c r="P70" i="55"/>
  <c r="P68" i="55"/>
  <c r="P66" i="55"/>
  <c r="P64" i="55"/>
  <c r="P62" i="55"/>
  <c r="M61" i="55"/>
  <c r="N56" i="55"/>
  <c r="L55" i="55"/>
  <c r="L53" i="55"/>
  <c r="L51" i="55"/>
  <c r="M48" i="55"/>
  <c r="M46" i="55"/>
  <c r="N43" i="55"/>
  <c r="N41" i="55"/>
  <c r="N39" i="55"/>
  <c r="O37" i="55"/>
  <c r="P52" i="52"/>
  <c r="O86" i="55"/>
  <c r="O84" i="55"/>
  <c r="O82" i="55"/>
  <c r="O80" i="55"/>
  <c r="O78" i="55"/>
  <c r="O76" i="55"/>
  <c r="O74" i="55"/>
  <c r="O72" i="55"/>
  <c r="O70" i="55"/>
  <c r="O68" i="55"/>
  <c r="O66" i="55"/>
  <c r="O64" i="55"/>
  <c r="O62" i="55"/>
  <c r="L61" i="55"/>
  <c r="P59" i="55"/>
  <c r="P57" i="55"/>
  <c r="M56" i="55"/>
  <c r="L48" i="55"/>
  <c r="L46" i="55"/>
  <c r="M43" i="55"/>
  <c r="M41" i="55"/>
  <c r="M39" i="55"/>
  <c r="N37" i="55"/>
  <c r="N86" i="55"/>
  <c r="N84" i="55"/>
  <c r="N82" i="55"/>
  <c r="N80" i="55"/>
  <c r="N78" i="55"/>
  <c r="N76" i="55"/>
  <c r="N74" i="55"/>
  <c r="N72" i="55"/>
  <c r="N68" i="55"/>
  <c r="N66" i="55"/>
  <c r="N64" i="55"/>
  <c r="N62" i="55"/>
  <c r="O59" i="55"/>
  <c r="O57" i="55"/>
  <c r="L56" i="55"/>
  <c r="P54" i="55"/>
  <c r="P52" i="55"/>
  <c r="L43" i="55"/>
  <c r="L41" i="55"/>
  <c r="L39" i="55"/>
  <c r="M37" i="55"/>
  <c r="N52" i="52"/>
  <c r="N59" i="55"/>
  <c r="N57" i="55"/>
  <c r="O54" i="55"/>
  <c r="O52" i="55"/>
  <c r="P49" i="55"/>
  <c r="P47" i="55"/>
  <c r="L37" i="55"/>
  <c r="O52" i="52"/>
  <c r="N32" i="51"/>
  <c r="L86" i="55"/>
  <c r="L84" i="55"/>
  <c r="L82" i="55"/>
  <c r="L80" i="55"/>
  <c r="L78" i="55"/>
  <c r="L76" i="55"/>
  <c r="L74" i="55"/>
  <c r="L72" i="55"/>
  <c r="L70" i="55"/>
  <c r="L68" i="55"/>
  <c r="L66" i="55"/>
  <c r="L64" i="55"/>
  <c r="L62" i="55"/>
  <c r="M59" i="55"/>
  <c r="M57" i="55"/>
  <c r="N54" i="55"/>
  <c r="N52" i="55"/>
  <c r="O49" i="55"/>
  <c r="O47" i="55"/>
  <c r="P44" i="55"/>
  <c r="P42" i="55"/>
  <c r="T50" i="55" s="1"/>
  <c r="P40" i="55"/>
  <c r="P60" i="52"/>
  <c r="P38" i="52"/>
  <c r="K27" i="53"/>
  <c r="M54" i="55"/>
  <c r="M52" i="55"/>
  <c r="P50" i="55"/>
  <c r="N49" i="55"/>
  <c r="N47" i="55"/>
  <c r="O44" i="55"/>
  <c r="O42" i="55"/>
  <c r="O40" i="55"/>
  <c r="P38" i="55"/>
  <c r="P85" i="55"/>
  <c r="P83" i="55"/>
  <c r="P81" i="55"/>
  <c r="P79" i="55"/>
  <c r="P77" i="55"/>
  <c r="P75" i="55"/>
  <c r="P73" i="55"/>
  <c r="P71" i="55"/>
  <c r="P69" i="55"/>
  <c r="P67" i="55"/>
  <c r="P65" i="55"/>
  <c r="P63" i="55"/>
  <c r="L54" i="55"/>
  <c r="L52" i="55"/>
  <c r="O50" i="55"/>
  <c r="M49" i="55"/>
  <c r="M47" i="55"/>
  <c r="P45" i="55"/>
  <c r="N44" i="55"/>
  <c r="N42" i="55"/>
  <c r="N40" i="55"/>
  <c r="O38" i="55"/>
  <c r="N60" i="52"/>
  <c r="N67" i="52" s="1"/>
  <c r="N38" i="52"/>
  <c r="N45" i="52" s="1"/>
  <c r="O85" i="55"/>
  <c r="O83" i="55"/>
  <c r="O81" i="55"/>
  <c r="O79" i="55"/>
  <c r="O77" i="55"/>
  <c r="O75" i="55"/>
  <c r="O73" i="55"/>
  <c r="O71" i="55"/>
  <c r="O69" i="55"/>
  <c r="O67" i="55"/>
  <c r="O65" i="55"/>
  <c r="O63" i="55"/>
  <c r="P60" i="55"/>
  <c r="P58" i="55"/>
  <c r="N50" i="55"/>
  <c r="N38" i="55"/>
  <c r="N81" i="55"/>
  <c r="N77" i="55"/>
  <c r="N73" i="55"/>
  <c r="N71" i="55"/>
  <c r="N67" i="55"/>
  <c r="N65" i="55"/>
  <c r="N63" i="55"/>
  <c r="O60" i="55"/>
  <c r="O58" i="55"/>
  <c r="P55" i="55"/>
  <c r="P51" i="55"/>
  <c r="N45" i="55"/>
  <c r="L40" i="55"/>
  <c r="O43" i="52"/>
  <c r="T42" i="52" s="1"/>
  <c r="N83" i="55"/>
  <c r="N79" i="55"/>
  <c r="N75" i="55"/>
  <c r="N69" i="55"/>
  <c r="P53" i="55"/>
  <c r="M50" i="55"/>
  <c r="L44" i="55"/>
  <c r="M38" i="55"/>
  <c r="P59" i="52"/>
  <c r="P61" i="52" s="1"/>
  <c r="P53" i="52"/>
  <c r="P67" i="52" s="1"/>
  <c r="T65" i="52" s="1"/>
  <c r="M85" i="55"/>
  <c r="M83" i="55"/>
  <c r="M81" i="55"/>
  <c r="M79" i="55"/>
  <c r="M77" i="55"/>
  <c r="M75" i="55"/>
  <c r="M73" i="55"/>
  <c r="M71" i="55"/>
  <c r="M69" i="55"/>
  <c r="M67" i="55"/>
  <c r="M65" i="55"/>
  <c r="M63" i="55"/>
  <c r="P61" i="55"/>
  <c r="N60" i="55"/>
  <c r="N58" i="55"/>
  <c r="O55" i="55"/>
  <c r="O53" i="55"/>
  <c r="O51" i="55"/>
  <c r="P48" i="55"/>
  <c r="P46" i="55"/>
  <c r="M45" i="55"/>
  <c r="O59" i="52"/>
  <c r="O61" i="52" s="1"/>
  <c r="L85" i="55"/>
  <c r="L83" i="55"/>
  <c r="L81" i="55"/>
  <c r="L79" i="55"/>
  <c r="L77" i="55"/>
  <c r="L75" i="55"/>
  <c r="L73" i="55"/>
  <c r="L71" i="55"/>
  <c r="L69" i="55"/>
  <c r="L67" i="55"/>
  <c r="L65" i="55"/>
  <c r="L63" i="55"/>
  <c r="O61" i="55"/>
  <c r="M60" i="55"/>
  <c r="M58" i="55"/>
  <c r="P56" i="55"/>
  <c r="N55" i="55"/>
  <c r="N53" i="55"/>
  <c r="N51" i="55"/>
  <c r="O48" i="55"/>
  <c r="O46" i="55"/>
  <c r="L45" i="55"/>
  <c r="P43" i="55"/>
  <c r="P41" i="55"/>
  <c r="N59" i="52"/>
  <c r="N53" i="33"/>
  <c r="D39" i="35"/>
  <c r="L52" i="22"/>
  <c r="L56" i="22" s="1"/>
  <c r="W65" i="31"/>
  <c r="I44" i="38"/>
  <c r="G44" i="38"/>
  <c r="R31" i="23"/>
  <c r="U31" i="23" s="1"/>
  <c r="S31" i="23"/>
  <c r="T31" i="23"/>
  <c r="I49" i="21"/>
  <c r="I52" i="21" s="1"/>
  <c r="L35" i="25"/>
  <c r="K35" i="25"/>
  <c r="K40" i="25"/>
  <c r="L40" i="25"/>
  <c r="K46" i="25" s="1"/>
  <c r="J53" i="31"/>
  <c r="N52" i="31"/>
  <c r="U52" i="31" s="1"/>
  <c r="Q52" i="31" s="1"/>
  <c r="T52" i="31"/>
  <c r="J68" i="31"/>
  <c r="N67" i="31"/>
  <c r="T67" i="31"/>
  <c r="N30" i="33"/>
  <c r="N21" i="33"/>
  <c r="R43" i="27"/>
  <c r="W80" i="31"/>
  <c r="N56" i="25"/>
  <c r="U32" i="23"/>
  <c r="I65" i="30"/>
  <c r="W66" i="31"/>
  <c r="L75" i="33"/>
  <c r="L60" i="33"/>
  <c r="L63" i="33" s="1"/>
  <c r="M36" i="39"/>
  <c r="M47" i="39"/>
  <c r="O47" i="39" s="1"/>
  <c r="W51" i="31"/>
  <c r="R30" i="23"/>
  <c r="S30" i="23"/>
  <c r="T30" i="23"/>
  <c r="T33" i="23" s="1"/>
  <c r="C48" i="29"/>
  <c r="N59" i="33"/>
  <c r="K60" i="33"/>
  <c r="K63" i="33" s="1"/>
  <c r="M44" i="39"/>
  <c r="O44" i="39" s="1"/>
  <c r="M33" i="39"/>
  <c r="K34" i="25"/>
  <c r="L34" i="25"/>
  <c r="K39" i="25"/>
  <c r="L39" i="25"/>
  <c r="I23" i="21"/>
  <c r="I30" i="21" s="1"/>
  <c r="I31" i="21" s="1"/>
  <c r="I34" i="21" s="1"/>
  <c r="J83" i="31"/>
  <c r="N82" i="31"/>
  <c r="T82" i="31"/>
  <c r="W50" i="31"/>
  <c r="N42" i="33"/>
  <c r="I70" i="30"/>
  <c r="I41" i="30"/>
  <c r="L88" i="33"/>
  <c r="L91" i="33" s="1"/>
  <c r="M75" i="33"/>
  <c r="M88" i="33" s="1"/>
  <c r="M91" i="33" s="1"/>
  <c r="M60" i="33"/>
  <c r="M63" i="33" s="1"/>
  <c r="W45" i="23"/>
  <c r="W81" i="31"/>
  <c r="K91" i="33"/>
  <c r="N36" i="33"/>
  <c r="H40" i="38"/>
  <c r="H44" i="38" s="1"/>
  <c r="L34" i="34"/>
  <c r="O14" i="35"/>
  <c r="P14" i="35" s="1"/>
  <c r="K18" i="35" s="1"/>
  <c r="N22" i="39"/>
  <c r="N25" i="39" s="1"/>
  <c r="C28" i="29"/>
  <c r="C31" i="29" s="1"/>
  <c r="G27" i="38"/>
  <c r="M45" i="39"/>
  <c r="O45" i="39" s="1"/>
  <c r="K29" i="25"/>
  <c r="K63" i="25"/>
  <c r="N19" i="25"/>
  <c r="N21" i="25" s="1"/>
  <c r="K24" i="25" s="1"/>
  <c r="N79" i="31"/>
  <c r="U79" i="31" s="1"/>
  <c r="Q79" i="31" s="1"/>
  <c r="N64" i="31"/>
  <c r="U64" i="31" s="1"/>
  <c r="Q64" i="31" s="1"/>
  <c r="N49" i="31"/>
  <c r="U49" i="31" s="1"/>
  <c r="Q49" i="31" s="1"/>
  <c r="L31" i="31"/>
  <c r="T31" i="31" s="1"/>
  <c r="O31" i="31" s="1"/>
  <c r="L35" i="32"/>
  <c r="M35" i="32" s="1"/>
  <c r="N35" i="32" s="1"/>
  <c r="L31" i="32"/>
  <c r="M31" i="32" s="1"/>
  <c r="N31" i="32" s="1"/>
  <c r="D44" i="38"/>
  <c r="D27" i="38"/>
  <c r="H26" i="38"/>
  <c r="H30" i="38" s="1"/>
  <c r="U46" i="23"/>
  <c r="W46" i="23" s="1"/>
  <c r="L55" i="25"/>
  <c r="L21" i="25"/>
  <c r="M55" i="25"/>
  <c r="M57" i="25" s="1"/>
  <c r="M32" i="31"/>
  <c r="L34" i="32"/>
  <c r="M34" i="32" s="1"/>
  <c r="N34" i="32" s="1"/>
  <c r="L30" i="32"/>
  <c r="M30" i="32" s="1"/>
  <c r="N30" i="32" s="1"/>
  <c r="V45" i="23"/>
  <c r="X45" i="23" s="1"/>
  <c r="K55" i="25"/>
  <c r="S33" i="31"/>
  <c r="T33" i="31" s="1"/>
  <c r="O33" i="31" s="1"/>
  <c r="K32" i="31"/>
  <c r="J34" i="31" s="1"/>
  <c r="J21" i="25"/>
  <c r="L37" i="32"/>
  <c r="M37" i="32" s="1"/>
  <c r="N37" i="32" s="1"/>
  <c r="L33" i="32"/>
  <c r="M33" i="32" s="1"/>
  <c r="N33" i="32" s="1"/>
  <c r="L29" i="32"/>
  <c r="M29" i="32" s="1"/>
  <c r="N29" i="32" s="1"/>
  <c r="N38" i="32" s="1"/>
  <c r="F43" i="38"/>
  <c r="I43" i="38" s="1"/>
  <c r="I30" i="38"/>
  <c r="T32" i="23"/>
  <c r="L36" i="32"/>
  <c r="M36" i="32" s="1"/>
  <c r="N36" i="32" s="1"/>
  <c r="L32" i="32"/>
  <c r="M32" i="32" s="1"/>
  <c r="N32" i="32" s="1"/>
  <c r="K54" i="66" l="1"/>
  <c r="K55" i="66" s="1"/>
  <c r="K66" i="72"/>
  <c r="O67" i="72"/>
  <c r="J58" i="68"/>
  <c r="J65" i="68" s="1"/>
  <c r="J62" i="68"/>
  <c r="L66" i="72"/>
  <c r="P67" i="72"/>
  <c r="P69" i="72" s="1"/>
  <c r="L39" i="72"/>
  <c r="K40" i="72"/>
  <c r="O41" i="72"/>
  <c r="K65" i="68"/>
  <c r="L46" i="66"/>
  <c r="L53" i="66" s="1"/>
  <c r="L54" i="66" s="1"/>
  <c r="L55" i="66" s="1"/>
  <c r="K55" i="71"/>
  <c r="K59" i="71"/>
  <c r="L65" i="68"/>
  <c r="P54" i="52"/>
  <c r="P68" i="52" s="1"/>
  <c r="P66" i="52"/>
  <c r="T44" i="55"/>
  <c r="M51" i="51"/>
  <c r="M53" i="51" s="1"/>
  <c r="M57" i="51" s="1"/>
  <c r="S45" i="52"/>
  <c r="S46" i="52" s="1"/>
  <c r="S47" i="52" s="1"/>
  <c r="S48" i="52" s="1"/>
  <c r="S42" i="52"/>
  <c r="N54" i="52"/>
  <c r="N68" i="52" s="1"/>
  <c r="N66" i="52"/>
  <c r="K37" i="53"/>
  <c r="K39" i="53" s="1"/>
  <c r="L27" i="53"/>
  <c r="K28" i="53"/>
  <c r="T49" i="55"/>
  <c r="N61" i="52"/>
  <c r="O54" i="52"/>
  <c r="O68" i="52" s="1"/>
  <c r="O66" i="52"/>
  <c r="T45" i="55"/>
  <c r="S38" i="55"/>
  <c r="U45" i="55"/>
  <c r="U50" i="55"/>
  <c r="V50" i="55" s="1"/>
  <c r="U44" i="55"/>
  <c r="U49" i="55"/>
  <c r="S65" i="52"/>
  <c r="J43" i="38"/>
  <c r="K43" i="38" s="1"/>
  <c r="L43" i="38"/>
  <c r="W33" i="31"/>
  <c r="R81" i="31"/>
  <c r="R51" i="31"/>
  <c r="R66" i="31"/>
  <c r="D40" i="35"/>
  <c r="D43" i="35" s="1"/>
  <c r="K20" i="35"/>
  <c r="N20" i="35"/>
  <c r="O20" i="35"/>
  <c r="L20" i="35"/>
  <c r="M20" i="35"/>
  <c r="I25" i="21"/>
  <c r="N60" i="33"/>
  <c r="N63" i="33" s="1"/>
  <c r="U67" i="31"/>
  <c r="Q67" i="31" s="1"/>
  <c r="W31" i="31"/>
  <c r="I67" i="30"/>
  <c r="I71" i="30"/>
  <c r="I73" i="30" s="1"/>
  <c r="J69" i="31"/>
  <c r="N68" i="31"/>
  <c r="T68" i="31"/>
  <c r="J44" i="38"/>
  <c r="K44" i="38" s="1"/>
  <c r="J30" i="38"/>
  <c r="K30" i="38" s="1"/>
  <c r="L30" i="38"/>
  <c r="L24" i="25"/>
  <c r="L64" i="25"/>
  <c r="L57" i="25"/>
  <c r="L60" i="25" s="1"/>
  <c r="L60" i="22"/>
  <c r="L59" i="22"/>
  <c r="R49" i="31"/>
  <c r="W49" i="31"/>
  <c r="R64" i="31"/>
  <c r="W64" i="31"/>
  <c r="R79" i="31"/>
  <c r="W79" i="31"/>
  <c r="O37" i="39"/>
  <c r="K45" i="25"/>
  <c r="K44" i="25"/>
  <c r="K49" i="25" s="1"/>
  <c r="W52" i="31"/>
  <c r="R52" i="31"/>
  <c r="N88" i="33"/>
  <c r="N91" i="33" s="1"/>
  <c r="U30" i="23"/>
  <c r="U33" i="23" s="1"/>
  <c r="U35" i="23" s="1"/>
  <c r="S34" i="31"/>
  <c r="J35" i="31"/>
  <c r="L34" i="31"/>
  <c r="T34" i="31" s="1"/>
  <c r="O34" i="31" s="1"/>
  <c r="W34" i="31" s="1"/>
  <c r="U82" i="31"/>
  <c r="Q82" i="31" s="1"/>
  <c r="D42" i="35"/>
  <c r="D69" i="35"/>
  <c r="D70" i="35" s="1"/>
  <c r="D50" i="35"/>
  <c r="D58" i="35"/>
  <c r="X48" i="23"/>
  <c r="Y45" i="23"/>
  <c r="Y48" i="23" s="1"/>
  <c r="Y50" i="23" s="1"/>
  <c r="M46" i="39"/>
  <c r="O46" i="39" s="1"/>
  <c r="M35" i="39"/>
  <c r="J24" i="25"/>
  <c r="D31" i="38"/>
  <c r="H27" i="38"/>
  <c r="H31" i="38" s="1"/>
  <c r="G31" i="38"/>
  <c r="I31" i="38"/>
  <c r="W48" i="23"/>
  <c r="J84" i="31"/>
  <c r="N83" i="31"/>
  <c r="T83" i="31"/>
  <c r="O48" i="39"/>
  <c r="J71" i="39" s="1"/>
  <c r="J54" i="31"/>
  <c r="N53" i="31"/>
  <c r="T53" i="31"/>
  <c r="K57" i="25"/>
  <c r="N55" i="25"/>
  <c r="N57" i="25" s="1"/>
  <c r="J60" i="25" s="1"/>
  <c r="L63" i="25"/>
  <c r="C32" i="29"/>
  <c r="C42" i="29"/>
  <c r="C43" i="29" s="1"/>
  <c r="C50" i="29" s="1"/>
  <c r="L32" i="31"/>
  <c r="T32" i="31" s="1"/>
  <c r="O32" i="31" s="1"/>
  <c r="O43" i="72" l="1"/>
  <c r="Q67" i="72"/>
  <c r="O69" i="72"/>
  <c r="N74" i="72"/>
  <c r="N73" i="72"/>
  <c r="K62" i="71"/>
  <c r="L40" i="72"/>
  <c r="P41" i="72"/>
  <c r="P43" i="72" s="1"/>
  <c r="J53" i="66"/>
  <c r="J54" i="66" s="1"/>
  <c r="J55" i="66" s="1"/>
  <c r="L28" i="53"/>
  <c r="L37" i="53" s="1"/>
  <c r="L39" i="53" s="1"/>
  <c r="V45" i="55"/>
  <c r="S67" i="52"/>
  <c r="S64" i="52"/>
  <c r="V44" i="55"/>
  <c r="T64" i="52"/>
  <c r="T67" i="52"/>
  <c r="T66" i="52"/>
  <c r="T68" i="52" s="1"/>
  <c r="T69" i="52" s="1"/>
  <c r="S66" i="52"/>
  <c r="S68" i="52" s="1"/>
  <c r="S69" i="52" s="1"/>
  <c r="V49" i="55"/>
  <c r="X49" i="55" s="1"/>
  <c r="F50" i="29"/>
  <c r="C51" i="29"/>
  <c r="F51" i="29" s="1"/>
  <c r="K68" i="25"/>
  <c r="L68" i="25"/>
  <c r="L73" i="25"/>
  <c r="K73" i="25"/>
  <c r="J73" i="39"/>
  <c r="J88" i="39" s="1"/>
  <c r="J77" i="39"/>
  <c r="J92" i="39"/>
  <c r="U68" i="31"/>
  <c r="Q68" i="31" s="1"/>
  <c r="J31" i="38"/>
  <c r="K31" i="38" s="1"/>
  <c r="W32" i="31"/>
  <c r="R50" i="31"/>
  <c r="R80" i="31"/>
  <c r="R65" i="31"/>
  <c r="N84" i="31"/>
  <c r="T84" i="31"/>
  <c r="D45" i="35"/>
  <c r="D57" i="35" s="1"/>
  <c r="D59" i="35" s="1"/>
  <c r="D61" i="35" s="1"/>
  <c r="D63" i="35" s="1"/>
  <c r="U83" i="31"/>
  <c r="Q83" i="31" s="1"/>
  <c r="D60" i="35"/>
  <c r="N69" i="31"/>
  <c r="T69" i="31"/>
  <c r="Y52" i="23"/>
  <c r="D72" i="35"/>
  <c r="D74" i="35" s="1"/>
  <c r="D51" i="35"/>
  <c r="D52" i="35" s="1"/>
  <c r="K69" i="25"/>
  <c r="L69" i="25"/>
  <c r="K74" i="25"/>
  <c r="L74" i="25"/>
  <c r="K80" i="25" s="1"/>
  <c r="K60" i="25"/>
  <c r="W82" i="31"/>
  <c r="R82" i="31"/>
  <c r="W67" i="31"/>
  <c r="R67" i="31"/>
  <c r="U53" i="31"/>
  <c r="Q53" i="31" s="1"/>
  <c r="J36" i="31"/>
  <c r="L35" i="31"/>
  <c r="S35" i="31"/>
  <c r="N54" i="31"/>
  <c r="T54" i="31"/>
  <c r="L44" i="38"/>
  <c r="N47" i="72" l="1"/>
  <c r="N48" i="72"/>
  <c r="M74" i="72"/>
  <c r="M73" i="72"/>
  <c r="M47" i="72"/>
  <c r="M48" i="72"/>
  <c r="Q41" i="72"/>
  <c r="S70" i="52"/>
  <c r="S82" i="52"/>
  <c r="T70" i="52"/>
  <c r="T82" i="52"/>
  <c r="X44" i="55"/>
  <c r="W83" i="31"/>
  <c r="W68" i="31"/>
  <c r="R68" i="31"/>
  <c r="U54" i="31"/>
  <c r="Q54" i="31" s="1"/>
  <c r="S36" i="31"/>
  <c r="L36" i="31"/>
  <c r="T36" i="31" s="1"/>
  <c r="O36" i="31" s="1"/>
  <c r="W36" i="31" s="1"/>
  <c r="K78" i="25"/>
  <c r="K83" i="25" s="1"/>
  <c r="K79" i="25"/>
  <c r="U84" i="31"/>
  <c r="Q84" i="31" s="1"/>
  <c r="W53" i="31"/>
  <c r="T35" i="31"/>
  <c r="O35" i="31" s="1"/>
  <c r="U69" i="31"/>
  <c r="Q69" i="31" s="1"/>
  <c r="Q70" i="31" s="1"/>
  <c r="L31" i="38"/>
  <c r="W84" i="31" l="1"/>
  <c r="R84" i="31"/>
  <c r="Q85" i="31"/>
  <c r="W54" i="31"/>
  <c r="R54" i="31"/>
  <c r="W35" i="31"/>
  <c r="O37" i="31"/>
  <c r="Q55" i="31"/>
  <c r="R83" i="31"/>
  <c r="R85" i="31" s="1"/>
  <c r="W69" i="31"/>
  <c r="R69" i="31"/>
  <c r="R70" i="31" s="1"/>
  <c r="R53" i="31"/>
  <c r="R55" i="3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<sst xmlns="http://schemas.openxmlformats.org/spreadsheetml/2006/main" count="13579" uniqueCount="1049">
  <si>
    <t>60,000+</t>
  </si>
  <si>
    <t>50,000 - 59,999</t>
  </si>
  <si>
    <t>20,000 - 49,999</t>
  </si>
  <si>
    <t>15,000 - 19,999</t>
  </si>
  <si>
    <t>10,000 - 14,999</t>
  </si>
  <si>
    <t>MSR High</t>
  </si>
  <si>
    <t>MSR Low</t>
  </si>
  <si>
    <t>Number of Assigned Beneficiaries</t>
  </si>
  <si>
    <t>Minimum Savings Rate (MSR) for gainsharing (one-sided model):</t>
  </si>
  <si>
    <t>Table Calculations and Formulas</t>
  </si>
  <si>
    <t>Given Table Data</t>
  </si>
  <si>
    <t>Shared savings cap limit</t>
  </si>
  <si>
    <t>Quality score, 55% for its quality metrics</t>
  </si>
  <si>
    <t>Quality performance sharing rate</t>
  </si>
  <si>
    <t>Performance year expenditures</t>
  </si>
  <si>
    <t>Assigned beneficiaries in performance year, 30,000 person-years</t>
  </si>
  <si>
    <t>Assumptions/Parameters</t>
  </si>
  <si>
    <t>part d</t>
  </si>
  <si>
    <t xml:space="preserve">        Aged/non-dual</t>
  </si>
  <si>
    <t xml:space="preserve">        Aged/dual</t>
  </si>
  <si>
    <t xml:space="preserve">        Disabled</t>
  </si>
  <si>
    <t xml:space="preserve">        ESRD</t>
  </si>
  <si>
    <t>OACT National FFS Growth Increment</t>
  </si>
  <si>
    <t>CMS-HHS Risk Score</t>
  </si>
  <si>
    <t> Medicare beneficiary type</t>
  </si>
  <si>
    <t>Performance Year 1</t>
  </si>
  <si>
    <t>Assigned beneficiary enrollment proportions</t>
  </si>
  <si>
    <t>OACT National Expenditure Annual Trend Factors</t>
  </si>
  <si>
    <t>CMS-HCC Risk Score</t>
  </si>
  <si>
    <t>Per Capita Expenditures</t>
  </si>
  <si>
    <t>Benchmark Year 3</t>
  </si>
  <si>
    <t>Benchmark Year 2</t>
  </si>
  <si>
    <t>Benchmark Year 1</t>
  </si>
  <si>
    <t>Assigned FFS Beneficiaries</t>
  </si>
  <si>
    <t>part c</t>
  </si>
  <si>
    <t>Benchmark Year Weights</t>
  </si>
  <si>
    <t>Answers</t>
  </si>
  <si>
    <t>Checks</t>
  </si>
  <si>
    <t>Calculations</t>
  </si>
  <si>
    <t xml:space="preserve">Notes or comments </t>
  </si>
  <si>
    <t>Cell color guide</t>
  </si>
  <si>
    <t>Fall 2024 RM #7c-d</t>
  </si>
  <si>
    <t>Annual Spending (000’s)</t>
  </si>
  <si>
    <t>Benchmark Weight</t>
  </si>
  <si>
    <t>Year</t>
  </si>
  <si>
    <t>shared saving rate</t>
  </si>
  <si>
    <t>Long-Term Care Facility</t>
  </si>
  <si>
    <t>Skilled Nursing Facility</t>
  </si>
  <si>
    <t>Inpatient Acute Stay</t>
  </si>
  <si>
    <t>Emergency Department</t>
  </si>
  <si>
    <t>Utilization per 1,000 Patients</t>
  </si>
  <si>
    <t>Average Unit Price</t>
  </si>
  <si>
    <t>Claim Category</t>
  </si>
  <si>
    <t>part b</t>
  </si>
  <si>
    <t xml:space="preserve">Calculate a bundled payment rate for hip replacement surgery that would reduce ABC’s average cost by 10%.  </t>
  </si>
  <si>
    <t>XYZ’s average price for a hip replacement surgery is $35,000.</t>
  </si>
  <si>
    <t>Fall 2020 DP-A #2b-d</t>
  </si>
  <si>
    <t>• Base years receive equal weight</t>
  </si>
  <si>
    <t>• Performance Year per Capita Expenditures is $11,100</t>
  </si>
  <si>
    <t>• Performance Year Person-Years is 10,500</t>
  </si>
  <si>
    <t>• Minimum Savings Rate is 3.0%</t>
  </si>
  <si>
    <t>• Quality Score Adjustment is 80%</t>
  </si>
  <si>
    <t>• Quality Performance Sharing Rate is 50%</t>
  </si>
  <si>
    <t>• Office of the Actuary (OACT) National Expenditure Trend Factor is 1.0</t>
  </si>
  <si>
    <t>• Performance Year Risk Score is 1.15</t>
  </si>
  <si>
    <t>• Benchmark Year 3 CMS-HCC Risk Score is 1.25</t>
  </si>
  <si>
    <t>• 2021 is Performance Year 1</t>
  </si>
  <si>
    <t>Fall 2020 DP-A #4</t>
  </si>
  <si>
    <t>C</t>
  </si>
  <si>
    <t>B</t>
  </si>
  <si>
    <t>A</t>
  </si>
  <si>
    <t>Dynamic Doctors</t>
  </si>
  <si>
    <t>Physicians First</t>
  </si>
  <si>
    <t>Plan</t>
  </si>
  <si>
    <t>2019 net paid cost per visit</t>
  </si>
  <si>
    <t>Annual Unit Cost Trend</t>
  </si>
  <si>
    <t>2019 Utilization per 1,000 Members</t>
  </si>
  <si>
    <t>Projected 2021 Average Enrollment</t>
  </si>
  <si>
    <t>Utilization % at Physicians First</t>
  </si>
  <si>
    <t>N/A</t>
  </si>
  <si>
    <t>2021 Proposed Copays</t>
  </si>
  <si>
    <t>Dynamic Doctors negotiates a 3% fee schedule rate increase (to 103% of Medicare) beginning January 1, 2021</t>
  </si>
  <si>
    <t>The contracting changes are the only expected impacts to unit cost from 2019 to 2021</t>
  </si>
  <si>
    <t>Members only utilize one of Physicians First or Dynamic Doctors</t>
  </si>
  <si>
    <t>No changes to the mix and severity of primary care related services are expected</t>
  </si>
  <si>
    <t>SFHP has historically paid its network physician groups 100% of the Medicare fee schedule rate</t>
  </si>
  <si>
    <t>There is no induced utilization</t>
  </si>
  <si>
    <t>Annual utilization trend is 1%</t>
  </si>
  <si>
    <t>All plans have a PCP copay of $15 in 2020</t>
  </si>
  <si>
    <t>SFHP is changing the primary care provider (PCP) visit copay structure to steer primary care visits to Physicians First</t>
  </si>
  <si>
    <t>Plan B is a narrow network plan that only covers primary care via Physicians First</t>
  </si>
  <si>
    <t>SFHP has three in-network only MA plans: A, B and C</t>
  </si>
  <si>
    <t>Fall 2020 DP-A #6c-d</t>
  </si>
  <si>
    <t>Part c</t>
  </si>
  <si>
    <t>Delivery Room</t>
  </si>
  <si>
    <t>Neonate w/ complications</t>
  </si>
  <si>
    <t>X-Ray</t>
  </si>
  <si>
    <t>Pharmacy</t>
  </si>
  <si>
    <t>Cardiology</t>
  </si>
  <si>
    <t>C Section</t>
  </si>
  <si>
    <t>Normal Newborn</t>
  </si>
  <si>
    <t>Laboratory</t>
  </si>
  <si>
    <t>Billed Amount</t>
  </si>
  <si>
    <t>Units</t>
  </si>
  <si>
    <t>Days</t>
  </si>
  <si>
    <t>Service</t>
  </si>
  <si>
    <t>DRG Weight</t>
  </si>
  <si>
    <t>DRG Description</t>
  </si>
  <si>
    <t>DRG</t>
  </si>
  <si>
    <t xml:space="preserve">Claim </t>
  </si>
  <si>
    <t>·       Claims for Hospital B:</t>
  </si>
  <si>
    <t>·       Hospital B is paid 65% of billed charges</t>
  </si>
  <si>
    <t>·       Hospital A receives a capitation payment of $2 PMPM for each of GHI's members</t>
  </si>
  <si>
    <t>·       GHI's enrollment is 5,000 members</t>
  </si>
  <si>
    <t>·       GHI's provider network includes Hospital A and Hospital B</t>
  </si>
  <si>
    <t>Spring 2021 DP-A #2b-c</t>
  </si>
  <si>
    <t>Part h</t>
  </si>
  <si>
    <t>Part g</t>
  </si>
  <si>
    <t>Allowed Charge per Visit</t>
  </si>
  <si>
    <t>All Other Physicians</t>
  </si>
  <si>
    <t>Physician C</t>
  </si>
  <si>
    <t>Physician B</t>
  </si>
  <si>
    <t>Physician A</t>
  </si>
  <si>
    <t>cost reduction factor</t>
  </si>
  <si>
    <t>Spring 2021 DP-A #6</t>
  </si>
  <si>
    <t>Facility</t>
  </si>
  <si>
    <t>Rehab</t>
  </si>
  <si>
    <t>Home</t>
  </si>
  <si>
    <t>Complication Rate</t>
  </si>
  <si>
    <t>Cost</t>
  </si>
  <si>
    <t>% Total Episodes</t>
  </si>
  <si>
    <t>Place of Discharge</t>
  </si>
  <si>
    <t>Year 1</t>
  </si>
  <si>
    <t>National Total Knee Replacement Episode Costs</t>
  </si>
  <si>
    <t>Year 0</t>
  </si>
  <si>
    <t>Group 1’s Total Knee Replacement Episode Costs</t>
  </si>
  <si>
    <t>3)     The complication rate is below 7% in Year 1</t>
  </si>
  <si>
    <t>2)     Total episode costs are at least 5% below the national average in Year 1</t>
  </si>
  <si>
    <t>1)     Total episode costs decrease at least 2% between Year 0 and Year 1</t>
  </si>
  <si>
    <t>·        Group 1 receives the performance bonus for knee replacements if all of the following conditions are satisfied:</t>
  </si>
  <si>
    <t>·        The target bonus for Group 1 is 2% of total knee replacement costs</t>
  </si>
  <si>
    <t>·        DEF pays for 1,000 knee replacements performed by Group 1 each year</t>
  </si>
  <si>
    <t>Fall 2021 DP-A #2c</t>
  </si>
  <si>
    <t>Entire Stay</t>
  </si>
  <si>
    <t>Kidney Transplants</t>
  </si>
  <si>
    <t>Bariatric Surgery</t>
  </si>
  <si>
    <t>Coronary Surgery</t>
  </si>
  <si>
    <t>Maternity – C-Section</t>
  </si>
  <si>
    <t>Maternity – Normal Delivery</t>
  </si>
  <si>
    <t>Per Diem in excess of Covered Days</t>
  </si>
  <si>
    <t>Case Rates</t>
  </si>
  <si>
    <t>Covered Days</t>
  </si>
  <si>
    <t>Acute Inpatient Services</t>
  </si>
  <si>
    <t>1/1/2022</t>
  </si>
  <si>
    <t>1/1/2021</t>
  </si>
  <si>
    <t>1/1/2020</t>
  </si>
  <si>
    <t>Effective dates</t>
  </si>
  <si>
    <t>Acute Inpatient Case Rates</t>
  </si>
  <si>
    <t>NICU – Level IV</t>
  </si>
  <si>
    <t>NICU – Level III</t>
  </si>
  <si>
    <t>NICU – Level II</t>
  </si>
  <si>
    <t>NICU – Level I</t>
  </si>
  <si>
    <t>ICU/CCU</t>
  </si>
  <si>
    <t>Medical/Surgical/ Pediatrics</t>
  </si>
  <si>
    <t>Acute Inpatient Per Diem Rates</t>
  </si>
  <si>
    <t>Inpatient Services</t>
  </si>
  <si>
    <t>This Contract is between C. Royale Health &amp; Life Insurance Company (Royale Health) and Lynd Hospital System (Lynd Hospital). The effective dates of this contract are January 1, 2020 – December 31, 2022. Below are the details of the reimbursement arrangements between the two parties.</t>
  </si>
  <si>
    <t>Lynd Hospital System Contract – Effective 1/1/2020 to 12/31/2022</t>
  </si>
  <si>
    <t>Maternity – C Section</t>
  </si>
  <si>
    <t>Admissions</t>
  </si>
  <si>
    <t>ALOS</t>
  </si>
  <si>
    <t>Average Length of Stay (ALOS)</t>
  </si>
  <si>
    <t>Paloma</t>
  </si>
  <si>
    <t xml:space="preserve"> Lynd</t>
  </si>
  <si>
    <t>·        The following utilization metrics for 2019:</t>
  </si>
  <si>
    <t>·        No utilization trend or mix changes between 2019 and 2020</t>
  </si>
  <si>
    <t>·        Royale Health attributes 3,000 members to Lynd and 1,000 members to Paloma</t>
  </si>
  <si>
    <t>·        The contract with Paloma will have the same terms as the contract with Lynd provided in Royale Health Email</t>
  </si>
  <si>
    <t>·        Paloma is recognized for the high-quality of its neonatal intensive care unit (NICU) and maternity services</t>
  </si>
  <si>
    <t>Fall 2021 DP-A #4c</t>
  </si>
  <si>
    <t>Low Cost</t>
  </si>
  <si>
    <t>Z</t>
  </si>
  <si>
    <t>Not Low Cost</t>
  </si>
  <si>
    <t>Y</t>
  </si>
  <si>
    <t>X</t>
  </si>
  <si>
    <t>W</t>
  </si>
  <si>
    <t>V</t>
  </si>
  <si>
    <t>U</t>
  </si>
  <si>
    <t>T</t>
  </si>
  <si>
    <t>S</t>
  </si>
  <si>
    <t>R</t>
  </si>
  <si>
    <t>Q</t>
  </si>
  <si>
    <t>P</t>
  </si>
  <si>
    <t>O</t>
  </si>
  <si>
    <t>N</t>
  </si>
  <si>
    <t>M</t>
  </si>
  <si>
    <t>L</t>
  </si>
  <si>
    <t>K</t>
  </si>
  <si>
    <t>J</t>
  </si>
  <si>
    <t>I</t>
  </si>
  <si>
    <t>H</t>
  </si>
  <si>
    <t>G</t>
  </si>
  <si>
    <t>F</t>
  </si>
  <si>
    <t>E</t>
  </si>
  <si>
    <t>D</t>
  </si>
  <si>
    <t>Cost Classification</t>
  </si>
  <si>
    <t>Reliability Score</t>
  </si>
  <si>
    <t>Total Cost (‘000s)</t>
  </si>
  <si>
    <t>Episode Count (‘000s)</t>
  </si>
  <si>
    <t>Physician</t>
  </si>
  <si>
    <t>Fall 2021 DP-A #6e</t>
  </si>
  <si>
    <t>Target savings</t>
  </si>
  <si>
    <t>Shift assumption</t>
  </si>
  <si>
    <t>For non-preferred after tiering</t>
  </si>
  <si>
    <t>?</t>
  </si>
  <si>
    <t>Before tiering</t>
  </si>
  <si>
    <t>Effective AV</t>
  </si>
  <si>
    <t>Non-Preferred visits</t>
  </si>
  <si>
    <t>Preferred visits</t>
  </si>
  <si>
    <t>Cost per member</t>
  </si>
  <si>
    <t>Cost per visit</t>
  </si>
  <si>
    <t>Assigned Members</t>
  </si>
  <si>
    <t>Spring 2022 DP #5d</t>
  </si>
  <si>
    <t>• Decrease ARBT’s projected claims trend by 1.0% per year</t>
  </si>
  <si>
    <t>• Increase the Administrative Fee by $5 PMPM over the entire year; and</t>
  </si>
  <si>
    <t>Membership</t>
  </si>
  <si>
    <t>Claims</t>
  </si>
  <si>
    <t>Revenue</t>
  </si>
  <si>
    <t>Projected Trends (per Year)</t>
  </si>
  <si>
    <t>Total Claims ($M)</t>
  </si>
  <si>
    <t>Total Revenue ($M)</t>
  </si>
  <si>
    <t>Average Members</t>
  </si>
  <si>
    <t>Calendar Year 2021 Experience</t>
  </si>
  <si>
    <t>Part e</t>
  </si>
  <si>
    <t>·         The risk score is 1.0</t>
  </si>
  <si>
    <t>the Centers for Medicare and Medicaid Services (CMS).  Thus, retirees pay no premium.</t>
  </si>
  <si>
    <t xml:space="preserve">·         All premium revenue comes in the form of a capitated per member per month (PMPM) payment from </t>
  </si>
  <si>
    <t>·         The arrangement is priced to be break-even</t>
  </si>
  <si>
    <t>max 15M</t>
  </si>
  <si>
    <t>50% of gains, to a maximum of $15,000,000</t>
  </si>
  <si>
    <t>·         Gain sharing amount:</t>
  </si>
  <si>
    <t>$70 PMPM</t>
  </si>
  <si>
    <t>·         Administrative Fee:</t>
  </si>
  <si>
    <t>Spring 2022 DP #11e,g</t>
  </si>
  <si>
    <t>Quality score</t>
  </si>
  <si>
    <t>Spend</t>
  </si>
  <si>
    <t>Benchmark weights</t>
  </si>
  <si>
    <t>part b iii</t>
  </si>
  <si>
    <t>part b ii</t>
  </si>
  <si>
    <t>part b i</t>
  </si>
  <si>
    <t>·         Minimum loss threshold is 2%.</t>
  </si>
  <si>
    <t>·         Minimum savings threshold is 2%.</t>
  </si>
  <si>
    <t>Shared downside</t>
  </si>
  <si>
    <t>Shared upside</t>
  </si>
  <si>
    <t>·         Two-sided model with 60% upside risk and 50% downside risk.</t>
  </si>
  <si>
    <t>Renewal Contract (2019-2021)</t>
  </si>
  <si>
    <t>·         Benchmark is $100M, from past yearly spending for attributed beneficiaries of $100M. </t>
  </si>
  <si>
    <t>·         One-sided model with 50% upside risk.</t>
  </si>
  <si>
    <t>Initial Contract (2016-2018)</t>
  </si>
  <si>
    <t>·         No change in the case-mix of patients.</t>
  </si>
  <si>
    <t>·         The annual benchmark inflation factor for all years is 0%.</t>
  </si>
  <si>
    <t>Fall 2022 DP #3a-b</t>
  </si>
  <si>
    <t>Number of Episodes</t>
  </si>
  <si>
    <t>Per Episode Cost</t>
  </si>
  <si>
    <t>&gt;= Benchmark None</t>
  </si>
  <si>
    <t>&lt; Benchmark 5% of difference between the benchmark and physician’s per episode cost</t>
  </si>
  <si>
    <t>Physician’s per Episode Cost Bonus</t>
  </si>
  <si>
    <t>·         The physician bonus will be calculated as:</t>
  </si>
  <si>
    <t>·         The benchmark is equal to the average cost per episode for all physicians.</t>
  </si>
  <si>
    <t>Fall 2022 DP #7c</t>
  </si>
  <si>
    <t>Cardiac Stent</t>
  </si>
  <si>
    <t>Appendectomy</t>
  </si>
  <si>
    <t>Colonoscopy</t>
  </si>
  <si>
    <t>Cesarean Section</t>
  </si>
  <si>
    <t>Hip Replacement</t>
  </si>
  <si>
    <t>Knee Replacement</t>
  </si>
  <si>
    <t>Per bundle</t>
  </si>
  <si>
    <t>Exhibit 10C</t>
  </si>
  <si>
    <t>Average allowed per day</t>
  </si>
  <si>
    <t>Average billed charges per day</t>
  </si>
  <si>
    <t>Average length of stay</t>
  </si>
  <si>
    <t>Average allowed per visit</t>
  </si>
  <si>
    <t>Average billed charges per visit</t>
  </si>
  <si>
    <t>Visits</t>
  </si>
  <si>
    <t>Hospital C</t>
  </si>
  <si>
    <t>Hospital B</t>
  </si>
  <si>
    <t>Hospital A</t>
  </si>
  <si>
    <t>Category</t>
  </si>
  <si>
    <t>Procedure</t>
  </si>
  <si>
    <t>Exhibit 10A</t>
  </si>
  <si>
    <t xml:space="preserve">Year 6 Change in Allowed Cost per Service </t>
  </si>
  <si>
    <t>Fall 2022 DP #11c-d</t>
  </si>
  <si>
    <t xml:space="preserve">Appendectomies </t>
  </si>
  <si>
    <t xml:space="preserve">Colonoscopies </t>
  </si>
  <si>
    <t>Hip Replacements</t>
  </si>
  <si>
    <t>Knee Replacements</t>
  </si>
  <si>
    <t>Cardiac Stents</t>
  </si>
  <si>
    <t>Provider Cost Per Service</t>
  </si>
  <si>
    <t>Market Average Cost per Service</t>
  </si>
  <si>
    <t>Number of Services</t>
  </si>
  <si>
    <t>Services</t>
  </si>
  <si>
    <t>Spring 2023 RM #2c</t>
  </si>
  <si>
    <t>Hospital C becomes out-of-network where member coinsurance is increased. Allowed costs for Hospital C will increase 10%</t>
  </si>
  <si>
    <t>Terminate Hospital C</t>
  </si>
  <si>
    <t>Set a benchmark for cardiac stent procedures, and share 50% of the surplus or deficit with Hospital C</t>
  </si>
  <si>
    <t>Implement Shared Savings Arrangement</t>
  </si>
  <si>
    <t>Tier Member Coinsurance at Hospital C</t>
  </si>
  <si>
    <t>Implement Tiered Payment System</t>
  </si>
  <si>
    <t>Description</t>
  </si>
  <si>
    <t>Action</t>
  </si>
  <si>
    <t>Member Coinsurance at Hospital</t>
  </si>
  <si>
    <t xml:space="preserve">Paid Cost per Day </t>
  </si>
  <si>
    <t>Average Length of Stay (Days)</t>
  </si>
  <si>
    <t>Annual Admits</t>
  </si>
  <si>
    <t>Hospital E</t>
  </si>
  <si>
    <t>Hospital D</t>
  </si>
  <si>
    <t>Fall 2023 RM #4b,d</t>
  </si>
  <si>
    <t>Max LR</t>
  </si>
  <si>
    <t>Shared savings</t>
  </si>
  <si>
    <t>·        2023 contract terms include a 50% shared savings if the loss ratio is below 87%</t>
  </si>
  <si>
    <t>·        Revenue:  $1,172 PMPM</t>
  </si>
  <si>
    <t>·        Paid Claims:  $961 PMPM</t>
  </si>
  <si>
    <t>·        Average Monthly Members:  5,000</t>
  </si>
  <si>
    <t>Spring 2024 RM #4</t>
  </si>
  <si>
    <t>OP surgery</t>
  </si>
  <si>
    <t>Diagnostic imaging high tech</t>
  </si>
  <si>
    <t>Diagnostic imaging</t>
  </si>
  <si>
    <t>Diagnostic lab tests</t>
  </si>
  <si>
    <t>2025  Utilization</t>
  </si>
  <si>
    <t>Negotiated Charges</t>
  </si>
  <si>
    <t>Member Plan Costs</t>
  </si>
  <si>
    <t>INN Non-Preferred</t>
  </si>
  <si>
    <t>In-Network Preferred</t>
  </si>
  <si>
    <t>INN Preferred</t>
  </si>
  <si>
    <t>2025 Plan Design</t>
  </si>
  <si>
    <t>2023 Utilization</t>
  </si>
  <si>
    <t>2023 Data</t>
  </si>
  <si>
    <t xml:space="preserve">Expected shift to preferred providers </t>
  </si>
  <si>
    <t>Spring 2024 RM #7c</t>
  </si>
  <si>
    <t>Part b</t>
  </si>
  <si>
    <t>Part a</t>
  </si>
  <si>
    <t>An unanticipated surgery costing $60,000 needs to be scheduled at the ACO between December 15, 2022 and January 15, 2023.</t>
  </si>
  <si>
    <t>·         The ACO’s quality score is 1.0.</t>
  </si>
  <si>
    <t>·         The ACO’s 2022 baseline spending is projected to be $3,000,000.</t>
  </si>
  <si>
    <t>·         2022 is Year 2 of the ACO’s first contract period in the MSSP.</t>
  </si>
  <si>
    <t>·         The ACO is participating in a two-sided model with a 60% share on savings.</t>
  </si>
  <si>
    <t>Fall 2024 RM #3a-b</t>
  </si>
  <si>
    <t>cumulative additional revenue (000's) over the 3 years</t>
  </si>
  <si>
    <t>revenue from extra surgery</t>
  </si>
  <si>
    <t>impact of surgery on benchmark</t>
  </si>
  <si>
    <t>updated benchmark</t>
  </si>
  <si>
    <t>original benchmark</t>
  </si>
  <si>
    <t>Updated spending</t>
  </si>
  <si>
    <t>a 64.8% reduction in utilization</t>
  </si>
  <si>
    <t>target cost of average ancillary services per hip replacement surgery</t>
  </si>
  <si>
    <t>targeted bundle payment discount</t>
  </si>
  <si>
    <t>cost of average ancillary services per hip replacement surgery</t>
  </si>
  <si>
    <t xml:space="preserve">Targeted bundled payment rate for hip replacement surgery </t>
  </si>
  <si>
    <t>average price of the hip surgery</t>
  </si>
  <si>
    <t>&lt;----- savings is less than the MSR so there will not be any shared savings in 2021</t>
  </si>
  <si>
    <t>MSR for PY1</t>
  </si>
  <si>
    <t>PY1 savings</t>
  </si>
  <si>
    <t>PY1 benchmark</t>
  </si>
  <si>
    <t>Trend from BY3 to PY1</t>
  </si>
  <si>
    <t>Risk ratio from BY3 to PY1</t>
  </si>
  <si>
    <t>C_0</t>
  </si>
  <si>
    <t>BY3 risk and trend adjusted to BY3</t>
  </si>
  <si>
    <t>BY2 risk and trend adjusted to BY3</t>
  </si>
  <si>
    <t>BY1 risk and trend adjusted to BY3</t>
  </si>
  <si>
    <t>PY1</t>
  </si>
  <si>
    <t>BY3</t>
  </si>
  <si>
    <t>BY2</t>
  </si>
  <si>
    <t>BY1</t>
  </si>
  <si>
    <t>Trend</t>
  </si>
  <si>
    <t>Risk score</t>
  </si>
  <si>
    <t>MSSP period</t>
  </si>
  <si>
    <t>&lt;---- working under the assumption that these are monthly spending amounts in BY1 - BY3</t>
  </si>
  <si>
    <t>Spending</t>
  </si>
  <si>
    <t>&lt;---- percentage fee schedule change required for Physicians First such that SFHP remains financially neutral</t>
  </si>
  <si>
    <t>&lt;--- $ reduction needed to remain financially neutral</t>
  </si>
  <si>
    <t>Total</t>
  </si>
  <si>
    <t>2021 Utilization % at Physicians First</t>
  </si>
  <si>
    <t>2021 Utilization per 1,000 Members</t>
  </si>
  <si>
    <t>2021 Total Allowed After Contract Change</t>
  </si>
  <si>
    <t>2021 Total Allowed Before Contract Change</t>
  </si>
  <si>
    <t>2021 Visits</t>
  </si>
  <si>
    <t>2019 Allowed/Visit</t>
  </si>
  <si>
    <t>2019 Net Paid Cost Per Visit</t>
  </si>
  <si>
    <t>2021 Copays</t>
  </si>
  <si>
    <t>be sure to set the "2020 Copay PMPM" calculation to use the 2021 utilization in order to capture only the increase due to copay</t>
  </si>
  <si>
    <t>2021 Copay PMPM</t>
  </si>
  <si>
    <t>2020 Copay PMPM</t>
  </si>
  <si>
    <t>2021 Dynamic Doctors Util.</t>
  </si>
  <si>
    <t>2021 Physicians First Util.</t>
  </si>
  <si>
    <t>2021 Copays - Dynamic Doctors</t>
  </si>
  <si>
    <t>2021 Copays - Physicians First</t>
  </si>
  <si>
    <t>DRG base rate</t>
  </si>
  <si>
    <t xml:space="preserve">Calculate the DRG base rate such that GHI is reimbursed a total of $20,000 for the above claims.  </t>
  </si>
  <si>
    <t>(iii)       Hospital B's reimbursement under a proposed case rate equal to $4,500 per birth</t>
  </si>
  <si>
    <t>Allowed</t>
  </si>
  <si>
    <t>(ii)        Hospital B's 2020 reimbursement under the discount arrangement</t>
  </si>
  <si>
    <t>(i)         Hospital A's 2020 reimbursement</t>
  </si>
  <si>
    <t>Savings</t>
  </si>
  <si>
    <t>Shift</t>
  </si>
  <si>
    <t>M%</t>
  </si>
  <si>
    <t>P%</t>
  </si>
  <si>
    <t>N%</t>
  </si>
  <si>
    <t>Non-preferred</t>
  </si>
  <si>
    <t>Preferred</t>
  </si>
  <si>
    <t>Mem. / visit</t>
  </si>
  <si>
    <t>Inc. / visit</t>
  </si>
  <si>
    <t>With benefit after tiering</t>
  </si>
  <si>
    <t>With benefit before tiering</t>
  </si>
  <si>
    <t>&lt;---- actuarial value for non-preferred after tiering (usually unknown or determined to reach a target savings) before tiering it is equal to the preferred value</t>
  </si>
  <si>
    <t>&lt;---- actuarial value before tiering (usually known)</t>
  </si>
  <si>
    <t>Allowed / visit</t>
  </si>
  <si>
    <t>Tiered providers</t>
  </si>
  <si>
    <t>Cost Profile</t>
  </si>
  <si>
    <t>Costs</t>
  </si>
  <si>
    <t>Criteria 3:</t>
  </si>
  <si>
    <t>Criteria 2:</t>
  </si>
  <si>
    <t>Criteria 1:</t>
  </si>
  <si>
    <t>Comp Rate</t>
  </si>
  <si>
    <t>National</t>
  </si>
  <si>
    <t>Group 1</t>
  </si>
  <si>
    <t>Total
Cost</t>
  </si>
  <si>
    <t>Excess 
(if any)</t>
  </si>
  <si>
    <t>Case Rate</t>
  </si>
  <si>
    <t>Per Diem</t>
  </si>
  <si>
    <t xml:space="preserve">In order to be classified as “Low Cost” the physician should have (1) a low unit cost ($1,100 or less), (2) a high reliability score (greater than 0.7), and (3) a sufficient number of episodes (greater than 1,000) </t>
  </si>
  <si>
    <t>Physician Z: low volume (not reliable)</t>
  </si>
  <si>
    <t>Physician M: classified as low cost but reliability score is below commonly used thresholds (0.7 and 0.9)</t>
  </si>
  <si>
    <t>Physician K: classified as not low cost, which appears to be an error based on reliability score &gt; 0.7 and unit cost = $1,100</t>
  </si>
  <si>
    <t>Physician F: classified as low cost, but unit cost is an outlier (use Winsorizing)</t>
  </si>
  <si>
    <t>Physician C: classified as low cost, but unit cost is not amongst the lowest</t>
  </si>
  <si>
    <t>Physician A: classified as low cost but reliability score is below commonly used thresholds (0.7 and 0.9)</t>
  </si>
  <si>
    <t>Critique original classification</t>
  </si>
  <si>
    <t>Re classification</t>
  </si>
  <si>
    <t>Unit cost</t>
  </si>
  <si>
    <t>% Savings</t>
  </si>
  <si>
    <t>$$$ Savings</t>
  </si>
  <si>
    <t>Non-par costs</t>
  </si>
  <si>
    <t>Par costs</t>
  </si>
  <si>
    <t>Old net cost</t>
  </si>
  <si>
    <t>Shifted to Par visits</t>
  </si>
  <si>
    <t>Previously Par visits</t>
  </si>
  <si>
    <t>New net cost</t>
  </si>
  <si>
    <t>A commonsense check:</t>
  </si>
  <si>
    <t>&lt;--- Total $ Savings? … remember that before tiering the average AV was the same for all the providers</t>
  </si>
  <si>
    <t>Member cost share %</t>
  </si>
  <si>
    <t>Effective AV for non-preferred after tiering</t>
  </si>
  <si>
    <t>&lt;---- Formula: N% * [M% + Shift * (P% - M%)]</t>
  </si>
  <si>
    <t>&lt;--- this parameter is dollar weighted not visit weighted</t>
  </si>
  <si>
    <t>&lt;---- ARBT has a net margin gain of 2.9M so they should accept the offer from DH</t>
  </si>
  <si>
    <t>Margin to ARBT after proposal</t>
  </si>
  <si>
    <t>Margin to ARBT before proposal</t>
  </si>
  <si>
    <t>&lt;----- under the cap of $15M so no need to cap the shared amount</t>
  </si>
  <si>
    <t>Gain share</t>
  </si>
  <si>
    <t>Margin before Gain Share</t>
  </si>
  <si>
    <t>&lt;----- adjusted admin fees</t>
  </si>
  <si>
    <t>Admin</t>
  </si>
  <si>
    <t>Total claims</t>
  </si>
  <si>
    <t>Total Rev</t>
  </si>
  <si>
    <t>2022 analysis</t>
  </si>
  <si>
    <t>Members</t>
  </si>
  <si>
    <t>&lt;----- adjusted claims trend</t>
  </si>
  <si>
    <t>Claims PMPM</t>
  </si>
  <si>
    <t>Rev PMPM</t>
  </si>
  <si>
    <t>Trended</t>
  </si>
  <si>
    <t>&lt;----- checking loss min threshold since there is negative savings</t>
  </si>
  <si>
    <t>NA</t>
  </si>
  <si>
    <t>Min. savings</t>
  </si>
  <si>
    <t>Cumul. Marg. Rev.</t>
  </si>
  <si>
    <t>Shared Savings</t>
  </si>
  <si>
    <t>Shared loss rate</t>
  </si>
  <si>
    <t>Shared savings rate</t>
  </si>
  <si>
    <t>New Claims</t>
  </si>
  <si>
    <t>Adt. Claims</t>
  </si>
  <si>
    <t>Old Claims</t>
  </si>
  <si>
    <t>Benchmark</t>
  </si>
  <si>
    <t>&lt;---Uses Shared Loss Rate</t>
  </si>
  <si>
    <t>Total Bonus</t>
  </si>
  <si>
    <t>Bonus</t>
  </si>
  <si>
    <t>Bench - Cost</t>
  </si>
  <si>
    <t># of Episodes</t>
  </si>
  <si>
    <t>Unit cost trends</t>
  </si>
  <si>
    <t>Total Costs</t>
  </si>
  <si>
    <t># of services</t>
  </si>
  <si>
    <t>&lt;----- this is making a simplified assumption that facility cost are all that is in the  bundled payment but usually the bundle payment will include professional fees as well as equipment and supplies</t>
  </si>
  <si>
    <t>Year 6 Cost per service</t>
  </si>
  <si>
    <t>Year 6 allowed cost per day</t>
  </si>
  <si>
    <t>Year 6 trend</t>
  </si>
  <si>
    <t>Year 6 allowed cost per visit</t>
  </si>
  <si>
    <t>Year 5 total allowed costs</t>
  </si>
  <si>
    <t>&lt;-- Should we exclud as an outlier?</t>
  </si>
  <si>
    <t>New member coins</t>
  </si>
  <si>
    <t>Target paid amount</t>
  </si>
  <si>
    <t>New Allowed</t>
  </si>
  <si>
    <t>Current Allowed</t>
  </si>
  <si>
    <t>increase in allowed assumption</t>
  </si>
  <si>
    <t>difference in net cost</t>
  </si>
  <si>
    <t>net cost</t>
  </si>
  <si>
    <t>Cost share</t>
  </si>
  <si>
    <t>Shared amount</t>
  </si>
  <si>
    <t>Expected Allowed</t>
  </si>
  <si>
    <t>Proposed paid</t>
  </si>
  <si>
    <t>Current allowed</t>
  </si>
  <si>
    <t>Savings target</t>
  </si>
  <si>
    <t>Proposed Paid</t>
  </si>
  <si>
    <t>Current Paid</t>
  </si>
  <si>
    <t>Proposed Allowed</t>
  </si>
  <si>
    <t>Recontract?</t>
  </si>
  <si>
    <t>Recommended bundle payment</t>
  </si>
  <si>
    <t>Cost per admit</t>
  </si>
  <si>
    <t>Total cost</t>
  </si>
  <si>
    <t>Allowed cost per day</t>
  </si>
  <si>
    <t xml:space="preserve">Most candidates did very well on this part of the question. Since a benchmark was not specified, different variations of the benchmark were given full credit as long as assumptions were stated. Total savings stated as a PMPM was also accepted. </t>
  </si>
  <si>
    <t>Grader Comments:</t>
  </si>
  <si>
    <t>Total savings = Savings PMPM * member months</t>
  </si>
  <si>
    <t>Savings PMPM = 50% * (Benchmark - Actual spending)</t>
  </si>
  <si>
    <t>Benchmark PMPM = revenue * 87%</t>
  </si>
  <si>
    <t>Assume the benchmark for savings is the 87% loss ratio.</t>
  </si>
  <si>
    <t>Since the loss ratio is below 87%, Alpha will share in the savings</t>
  </si>
  <si>
    <t>Loss ratio = Paid Claims / Revenue</t>
  </si>
  <si>
    <t>Calculate loss ratio</t>
  </si>
  <si>
    <t>Keep</t>
  </si>
  <si>
    <t>Recommendation</t>
  </si>
  <si>
    <t>TNHP Savings</t>
  </si>
  <si>
    <t>Answer</t>
  </si>
  <si>
    <t>Non-Preferred AV</t>
  </si>
  <si>
    <t>Preferred AV</t>
  </si>
  <si>
    <t>(Non-Preferred -&gt; Preferred) / Non-Preferred</t>
  </si>
  <si>
    <t xml:space="preserve">Shift = </t>
  </si>
  <si>
    <t>(Preferred AV - Non-Preferred AV) / Preferred AV</t>
  </si>
  <si>
    <t>M=</t>
  </si>
  <si>
    <t>1- (Preferred Incurred Claim Cost / Non-Preferred Incurred Claim Cost)</t>
  </si>
  <si>
    <t>P =</t>
  </si>
  <si>
    <t>Incurred claims of Non-Preferred / Total incurred claims</t>
  </si>
  <si>
    <t xml:space="preserve">N = </t>
  </si>
  <si>
    <t>Actuarial Value</t>
  </si>
  <si>
    <t>AV</t>
  </si>
  <si>
    <t>TNHP Savings =N% * (M% + Shift( P% - M%))</t>
  </si>
  <si>
    <t>Using equal weights, the cumulative marginal revenue equals the FFS payments</t>
  </si>
  <si>
    <t>Surgery in 2023</t>
  </si>
  <si>
    <t>Surgery in 2022</t>
  </si>
  <si>
    <t>Marginal revenue before share savings/losses</t>
  </si>
  <si>
    <t>Revenue before share savings/losses</t>
  </si>
  <si>
    <t>Weights</t>
  </si>
  <si>
    <t>2021-2026</t>
  </si>
  <si>
    <t>Annual base spending</t>
  </si>
  <si>
    <t>Cumulative marginal return</t>
  </si>
  <si>
    <t>Second contract period</t>
  </si>
  <si>
    <t>First contract period</t>
  </si>
  <si>
    <t>The ACO’s earned performance payment = $7.2M.</t>
  </si>
  <si>
    <t>Since shared savings amount ($7.2M) is &lt; the performance payment limit amount ($68M), then do not apply cap.</t>
  </si>
  <si>
    <t>Step 7: State the earned performance payment amount.</t>
  </si>
  <si>
    <t>= $682m × 10%</t>
  </si>
  <si>
    <t>Total updated benchmark expenditures × Performance payment limit percentage</t>
  </si>
  <si>
    <t>Step 6: Apply the performance payment limit.</t>
  </si>
  <si>
    <t>= $32m × 22%</t>
  </si>
  <si>
    <t>Savings (step 2) × Final shared savings rate (step 4)</t>
  </si>
  <si>
    <t>Step 5: Calculate the shared savings amount.</t>
  </si>
  <si>
    <t>Note: Credit will also be awarded if candidates identify the maximum sharing rate as 50% for the one-sided gainsharing model and correctly apply 50% in their calculations.</t>
  </si>
  <si>
    <t>= 40% x 55%</t>
  </si>
  <si>
    <t xml:space="preserve">Quality performance sharing rate allowable by track x ACO’s health equity adjusted quality performance score (expressed as a percentage) </t>
  </si>
  <si>
    <t>Step 4: Determine final shared savings rate based on quality performance</t>
  </si>
  <si>
    <t>Since savings ($32.7M) are ≥ the MSR ($16.4M), the ACO is eligible for a shared savings payment.</t>
  </si>
  <si>
    <t>= $682m × 2.4%</t>
  </si>
  <si>
    <t>Total updated benchmark expenditures × MSR</t>
  </si>
  <si>
    <t>Step 3: Determine if savings generated meet or exceed the MSR.</t>
  </si>
  <si>
    <t xml:space="preserve">Savings </t>
  </si>
  <si>
    <t>Total Performance Year expenditures</t>
  </si>
  <si>
    <t xml:space="preserve">Total Updated Benchmark expenditures </t>
  </si>
  <si>
    <t>Total updated benchmark expenditures − Total performance year expenditures</t>
  </si>
  <si>
    <t>Step 2: Determine difference between total updated benchmark expenditures and total performance year expenditures.</t>
  </si>
  <si>
    <t>MSR for 30,000</t>
  </si>
  <si>
    <t xml:space="preserve">For 30,000 memberships, the MSR is the linear interpolation between MSR for 20,000 and 49,999, which is 2.4% </t>
  </si>
  <si>
    <t xml:space="preserve">The MSR is calculated by linear interpolation between end-points of the membership categories </t>
  </si>
  <si>
    <t>Step 1: Calculate Target MSR</t>
  </si>
  <si>
    <t>Updated benchmark</t>
  </si>
  <si>
    <t>Total enrollment weighted average</t>
  </si>
  <si>
    <t>Aged/non-dual</t>
  </si>
  <si>
    <t>Aged/dual</t>
  </si>
  <si>
    <t>Disabled</t>
  </si>
  <si>
    <t>ESRD</t>
  </si>
  <si>
    <t>increment</t>
  </si>
  <si>
    <t>benchmark</t>
  </si>
  <si>
    <t>Risk ratio</t>
  </si>
  <si>
    <t>Member type</t>
  </si>
  <si>
    <t>benchmark plus</t>
  </si>
  <si>
    <t>FFS growth</t>
  </si>
  <si>
    <t xml:space="preserve">historical </t>
  </si>
  <si>
    <t>Risk adjusted</t>
  </si>
  <si>
    <t>OACT national</t>
  </si>
  <si>
    <t xml:space="preserve">Risk adjusted </t>
  </si>
  <si>
    <t>Update benchmark determination</t>
  </si>
  <si>
    <t>&lt;---- since the overall dollar-weighted average risk ratio is less than 1, you use the CMS-HCC risk scores to calculate the PY1 benchmark</t>
  </si>
  <si>
    <t>Average</t>
  </si>
  <si>
    <t>&lt;---- we are assuming that these enrollment weights are for continuously enrolled members</t>
  </si>
  <si>
    <t>Risk ratios (PY1 / BY3)</t>
  </si>
  <si>
    <t>Enrolment weights</t>
  </si>
  <si>
    <t>Historical benchmark</t>
  </si>
  <si>
    <t>&lt;---- The old weights were .1, .3, .6 … I suggest using the new weights, 1/3, as the law has changed.  The SOA has seemed to accept both answers but be sure to state your assumptions</t>
  </si>
  <si>
    <t>Per capita expenditures trended and risk adjusted to BY3</t>
  </si>
  <si>
    <t>3-Year Average Benchmark</t>
  </si>
  <si>
    <t>Assigned beneficiaries</t>
  </si>
  <si>
    <t>Average Cost Per Member Per Year</t>
  </si>
  <si>
    <t>Chronic Population Inpatient Admissions</t>
  </si>
  <si>
    <t>Chronic Member Months</t>
  </si>
  <si>
    <t>Average Total Member Population</t>
  </si>
  <si>
    <t>Measurement Period</t>
  </si>
  <si>
    <t>Baseline Period</t>
  </si>
  <si>
    <t>·       Vendor asserts that the DM program achieves a pre-tax hurdle rate of 150%</t>
  </si>
  <si>
    <t>·       Cost for the DM program is $3 per member per month</t>
  </si>
  <si>
    <t>·       Assumed utilization trend for the period is 5%</t>
  </si>
  <si>
    <t>Fall 2021 SPC #3c</t>
  </si>
  <si>
    <t>Benefit Plan</t>
  </si>
  <si>
    <t>Gender</t>
  </si>
  <si>
    <t>Age</t>
  </si>
  <si>
    <t>Member</t>
  </si>
  <si>
    <t>Benefit Plan: 1 = HMO, 0 = PPO</t>
  </si>
  <si>
    <t>Gender: 0 = male, 1 = female</t>
  </si>
  <si>
    <r>
      <t>β</t>
    </r>
    <r>
      <rPr>
        <sz val="8"/>
        <color theme="1"/>
        <rFont val="Calibri"/>
        <family val="2"/>
        <scheme val="minor"/>
      </rPr>
      <t>plan</t>
    </r>
    <r>
      <rPr>
        <sz val="11"/>
        <color theme="1"/>
        <rFont val="Calibri"/>
        <family val="2"/>
        <scheme val="minor"/>
      </rPr>
      <t xml:space="preserve"> = -0.2</t>
    </r>
  </si>
  <si>
    <r>
      <t>β</t>
    </r>
    <r>
      <rPr>
        <sz val="8"/>
        <color theme="1"/>
        <rFont val="Calibri"/>
        <family val="2"/>
        <scheme val="minor"/>
      </rPr>
      <t>gender</t>
    </r>
    <r>
      <rPr>
        <sz val="11"/>
        <color theme="1"/>
        <rFont val="Calibri"/>
        <family val="2"/>
        <scheme val="minor"/>
      </rPr>
      <t xml:space="preserve"> = 0.3</t>
    </r>
  </si>
  <si>
    <r>
      <rPr>
        <sz val="11"/>
        <color theme="1"/>
        <rFont val="Calibri"/>
        <family val="2"/>
      </rPr>
      <t>β</t>
    </r>
    <r>
      <rPr>
        <sz val="8"/>
        <color theme="1"/>
        <rFont val="Calibri"/>
        <family val="2"/>
        <scheme val="minor"/>
      </rPr>
      <t>age</t>
    </r>
    <r>
      <rPr>
        <sz val="11"/>
        <color theme="1"/>
        <rFont val="Calibri"/>
        <family val="2"/>
        <scheme val="minor"/>
      </rPr>
      <t xml:space="preserve"> = -0.06</t>
    </r>
  </si>
  <si>
    <r>
      <rPr>
        <sz val="11"/>
        <color theme="1"/>
        <rFont val="Calibri"/>
        <family val="2"/>
      </rPr>
      <t>α</t>
    </r>
    <r>
      <rPr>
        <sz val="11"/>
        <color theme="1"/>
        <rFont val="Calibri"/>
        <family val="2"/>
        <scheme val="minor"/>
      </rPr>
      <t xml:space="preserve"> = 2</t>
    </r>
  </si>
  <si>
    <t>Spring 2022 SPC #1a</t>
  </si>
  <si>
    <t>Grand Total</t>
  </si>
  <si>
    <t>Year 1 MM</t>
  </si>
  <si>
    <t>Year 1 claims</t>
  </si>
  <si>
    <t>COPD</t>
  </si>
  <si>
    <t>Diabetes</t>
  </si>
  <si>
    <t>Baseline MM</t>
  </si>
  <si>
    <t>Baseline claims</t>
  </si>
  <si>
    <t>Members: COPD and Diabetes identified in base period</t>
  </si>
  <si>
    <t>COPD in Year 1</t>
  </si>
  <si>
    <t>Diabetes in Year 1</t>
  </si>
  <si>
    <t>COPD in Base</t>
  </si>
  <si>
    <t>Diabetes in Base</t>
  </si>
  <si>
    <t>Year 1 Member Months</t>
  </si>
  <si>
    <t>Year 1 Total Claims</t>
  </si>
  <si>
    <t>Baseline Period Member Months</t>
  </si>
  <si>
    <t>Baseline Period Total Claims</t>
  </si>
  <si>
    <t>Member ID</t>
  </si>
  <si>
    <t>·         Members with diabetes or COPD have been enrolled in the program in Year 1 for the entirety of the time they were a member with the health plan</t>
  </si>
  <si>
    <t>·         Expected gross return on investment (ROI) is 2:1</t>
  </si>
  <si>
    <t>·         Program cost is $50 per engaged member per month</t>
  </si>
  <si>
    <t>·         The program has been in place for one full calendar year</t>
  </si>
  <si>
    <t>Fall 2022 SPC #3b</t>
  </si>
  <si>
    <t>Yes</t>
  </si>
  <si>
    <t>No</t>
  </si>
  <si>
    <t>Has Hypertension in Intervention Year 2</t>
  </si>
  <si>
    <t>Intervention Year 2 Total Claims</t>
  </si>
  <si>
    <t>Has Hypertension in Intervention Year 1</t>
  </si>
  <si>
    <t>Intervention Year 1 Total Claims</t>
  </si>
  <si>
    <t>Has Hypertension in Baseline Year</t>
  </si>
  <si>
    <t>Baseline Year Total Claims</t>
  </si>
  <si>
    <t>The DM program costs $200,000 to administer each year.</t>
  </si>
  <si>
    <t>All members are enrolled with Company ABC for the entire 12 months of each year.</t>
  </si>
  <si>
    <t>Data on ABC’s members provided in the accompanying Excel file.</t>
  </si>
  <si>
    <t>Spring 2023 RM #5b</t>
  </si>
  <si>
    <t>Actual</t>
  </si>
  <si>
    <t>Baseline</t>
  </si>
  <si>
    <t>Unit Cost</t>
  </si>
  <si>
    <t>Units per 1000</t>
  </si>
  <si>
    <t>(e)</t>
  </si>
  <si>
    <t>Low</t>
  </si>
  <si>
    <t>Medium</t>
  </si>
  <si>
    <t>High</t>
  </si>
  <si>
    <t>Risk-Mix</t>
  </si>
  <si>
    <t>Cost Per Member Per Year (PMPY)</t>
  </si>
  <si>
    <t>Risk Members</t>
  </si>
  <si>
    <t>(d)</t>
  </si>
  <si>
    <t>Low Risk cost change PMPY</t>
  </si>
  <si>
    <t>High Risk cost change PMPY</t>
  </si>
  <si>
    <t>·         From Period 2 to Period 3, the high-risk members cost PMPY decreased 10% while the low-risk members cost PMPY increased 10%</t>
  </si>
  <si>
    <t>P2 to P3</t>
  </si>
  <si>
    <t>·         The cost PMPY remains the same from Period 1 to Period 2</t>
  </si>
  <si>
    <t>High risk</t>
  </si>
  <si>
    <t>Low risk</t>
  </si>
  <si>
    <t>Period 3</t>
  </si>
  <si>
    <t>Period 2</t>
  </si>
  <si>
    <t>Member movement in risk mix</t>
  </si>
  <si>
    <t>Fall 2023 RM #2d-e</t>
  </si>
  <si>
    <t>Overhead and other Allocated Costs</t>
  </si>
  <si>
    <t>Management Costs</t>
  </si>
  <si>
    <t>Indirect Costs</t>
  </si>
  <si>
    <t>Direct Costs</t>
  </si>
  <si>
    <t>Measurement Period Calendar Year</t>
  </si>
  <si>
    <t>Utilization (admission) trend
 (as measured in a reference population)</t>
  </si>
  <si>
    <t>Cost/Admission</t>
  </si>
  <si>
    <t>Chronic Prevalence</t>
  </si>
  <si>
    <t>Average Total Population</t>
  </si>
  <si>
    <t>Change or Trend from Baseline to Measurement</t>
  </si>
  <si>
    <t>Baseline Period Calendar Year</t>
  </si>
  <si>
    <t>Period</t>
  </si>
  <si>
    <t>Spring 2024 RM #2c</t>
  </si>
  <si>
    <t>ED Visits in the Last 6 Months of Life</t>
  </si>
  <si>
    <t>IP Admissions in the Last 6 Months of Life</t>
  </si>
  <si>
    <t>County</t>
  </si>
  <si>
    <t>Participates in Palliative Care Program</t>
  </si>
  <si>
    <t>The goal of the program is to reduce total inpatient (IP) admissions and emergency department (ED) visits by at least 10% each</t>
  </si>
  <si>
    <t>Spring 2024 RM #6b</t>
  </si>
  <si>
    <t>·         Day 151: 90-day supply</t>
  </si>
  <si>
    <t>·         Day 91: 30-day supply</t>
  </si>
  <si>
    <t>·         Day 31: 60-day supply</t>
  </si>
  <si>
    <t>·         Day 1: 30-day supply</t>
  </si>
  <si>
    <t>Fall 2024 RM #8c</t>
  </si>
  <si>
    <t>Program does not meet required hurdle rate</t>
  </si>
  <si>
    <t>Required hurdle rate (net ROI)</t>
  </si>
  <si>
    <t>Net ROI</t>
  </si>
  <si>
    <t>Gross ROI</t>
  </si>
  <si>
    <t>Program costs</t>
  </si>
  <si>
    <t>&lt;----- Reduced utilization * cost per admit</t>
  </si>
  <si>
    <t>Savings (gross)</t>
  </si>
  <si>
    <t>&lt;---- Adjusted for your specific population</t>
  </si>
  <si>
    <t>Total reduced admits</t>
  </si>
  <si>
    <t>&lt;---- The expected less the actual</t>
  </si>
  <si>
    <t>Reduced admits/1,000</t>
  </si>
  <si>
    <t xml:space="preserve">  Calcs</t>
  </si>
  <si>
    <t>&lt;---- Trended utilization from the base period</t>
  </si>
  <si>
    <t>Trended admits per 1,000</t>
  </si>
  <si>
    <t>&lt;--- This was intended to be the cost per admit, candidates were also given credit if other values were used or calculated</t>
  </si>
  <si>
    <t>&lt;---- Projected in this problem, could be actual in other problems</t>
  </si>
  <si>
    <t>Admits per 1,000</t>
  </si>
  <si>
    <t>Admits (Utilization)</t>
  </si>
  <si>
    <t>Chronic members (Exposure)</t>
  </si>
  <si>
    <t>&lt;----- Adjusted for the exposure tied to your specific utilization counts, and on a per 1,000 basis</t>
  </si>
  <si>
    <t>A general set up to structure most of these types of questions</t>
  </si>
  <si>
    <t>p</t>
  </si>
  <si>
    <t>p = exp [α + βage*Xage + βgender*Xgender + βplan*Xplan] / {1 + exp [a + βage*Xage + βgender*Xgender + βplan*Xplan]}</t>
  </si>
  <si>
    <t>Savings PCMPM</t>
  </si>
  <si>
    <t>Year 1 costs</t>
  </si>
  <si>
    <t>Baseline costs trended</t>
  </si>
  <si>
    <t>Baseline costs</t>
  </si>
  <si>
    <t>&lt;---- be sure to weight these PMPM's with the year 1 enrollment counts.</t>
  </si>
  <si>
    <t>Diabetes &amp; COPD</t>
  </si>
  <si>
    <t>Year 1 PCMPM</t>
  </si>
  <si>
    <t>Base PCMPM</t>
  </si>
  <si>
    <t>Conditions</t>
  </si>
  <si>
    <t>&lt;---- Trend</t>
  </si>
  <si>
    <t>PMPM</t>
  </si>
  <si>
    <t>MM</t>
  </si>
  <si>
    <t>&lt;----- Use baseline period indicators of "N" to determine the population for trend, since the question says that anyone given diabetes or COPD in year 1 gets into the program</t>
  </si>
  <si>
    <t>Determine non-chronic trend</t>
  </si>
  <si>
    <t>&lt;---- I am interpreting this to imply that index members (for both the base year and year 1) are identified with non-chronic flags in the base year</t>
  </si>
  <si>
    <t>Savings / Total costs</t>
  </si>
  <si>
    <t>Total gross savings</t>
  </si>
  <si>
    <t>Savings PMPM</t>
  </si>
  <si>
    <t>Actual PMPM</t>
  </si>
  <si>
    <t>&lt;----- Duncan applies trend like this to determine the Year 2 expected</t>
  </si>
  <si>
    <t>Expected PMPM</t>
  </si>
  <si>
    <t>Non-chronic trends</t>
  </si>
  <si>
    <t>Year 2</t>
  </si>
  <si>
    <t>Has Hypertension</t>
  </si>
  <si>
    <t>Chronic trends</t>
  </si>
  <si>
    <t>Retro chronic assignment</t>
  </si>
  <si>
    <t>Current year chronic assignment</t>
  </si>
  <si>
    <t>Retro assignment</t>
  </si>
  <si>
    <t>Savings on a cost basis</t>
  </si>
  <si>
    <t>Projected savings on util basis</t>
  </si>
  <si>
    <t>Reduced PMPM</t>
  </si>
  <si>
    <t>Reduced utilization</t>
  </si>
  <si>
    <t>Expected</t>
  </si>
  <si>
    <t>Cost/Admit</t>
  </si>
  <si>
    <t>Cost projecting basis</t>
  </si>
  <si>
    <t>Utilization projection basis</t>
  </si>
  <si>
    <t>Cost PMPY</t>
  </si>
  <si>
    <t>Net savings</t>
  </si>
  <si>
    <t>Reduced admits</t>
  </si>
  <si>
    <t>Trended baseline admits/1,000</t>
  </si>
  <si>
    <t>Admits per member</t>
  </si>
  <si>
    <t>Admits</t>
  </si>
  <si>
    <t>The matched data indicates that the program was successful while the unmatched data does not</t>
  </si>
  <si>
    <t>Less than a 10% decrease indicating that the program was not successful</t>
  </si>
  <si>
    <t>Visits / Mem</t>
  </si>
  <si>
    <t>ED Visits</t>
  </si>
  <si>
    <t>Program</t>
  </si>
  <si>
    <t>ED visits</t>
  </si>
  <si>
    <t>Admits / Mem</t>
  </si>
  <si>
    <t>IP Admits</t>
  </si>
  <si>
    <t>IP admits</t>
  </si>
  <si>
    <t>Un - Matched Data:</t>
  </si>
  <si>
    <t>More than a 10% decrease indicating that the program was successful</t>
  </si>
  <si>
    <t>Change %</t>
  </si>
  <si>
    <t>Matched Data:</t>
  </si>
  <si>
    <t>&lt;--- since all 50 members in the program have 1 and only 1 match on county, age, and gender we can apply a matching technique on those factors</t>
  </si>
  <si>
    <t>How many matches are there</t>
  </si>
  <si>
    <t>Matching elements identifier</t>
  </si>
  <si>
    <t>ED visits by program status</t>
  </si>
  <si>
    <t>IP admits by program status</t>
  </si>
  <si>
    <t>Count of Member ID</t>
  </si>
  <si>
    <t>Consider using a pivot table to help you</t>
  </si>
  <si>
    <t>Find the unique elements of each column:</t>
  </si>
  <si>
    <t>MPR is above 80%, thus the STAR measure for MPR has been met.</t>
  </si>
  <si>
    <t>The STAR measure for PDC has not been met as an additional 82 days are required to meet this.</t>
  </si>
  <si>
    <t>days</t>
  </si>
  <si>
    <t>An additional 82 days are required to meet adherence.</t>
  </si>
  <si>
    <t xml:space="preserve">292 days are required to adhere to the Medicare STAR measure of adherence </t>
  </si>
  <si>
    <t>The Medicare STAR measure of adherence sets a minimum PDC threshold of 80%.</t>
  </si>
  <si>
    <t>PDC</t>
  </si>
  <si>
    <t>total number of days in the measurement period (we are told "filled for a drug during the year")</t>
  </si>
  <si>
    <t>number of days of coverage (there is no overlapping days of supply in this case)</t>
  </si>
  <si>
    <t>Proportion of days covered (PDC)</t>
  </si>
  <si>
    <t>MPR</t>
  </si>
  <si>
    <t>number of days during the measurement period during which the patient could have had the drug</t>
  </si>
  <si>
    <t>number of days supply in the patient’s possession</t>
  </si>
  <si>
    <t xml:space="preserve"> Medication Possession Ratio (MPR)</t>
  </si>
  <si>
    <t>Net Income as % of Premium</t>
  </si>
  <si>
    <t>Net Income</t>
  </si>
  <si>
    <t>ACA risk adjustment transfer amount</t>
  </si>
  <si>
    <t>Target Loss Ratio for Pricing</t>
  </si>
  <si>
    <t>Total Premium</t>
  </si>
  <si>
    <t>Average Premium PMPM</t>
  </si>
  <si>
    <t>Risk x Induced Demand x Geographic</t>
  </si>
  <si>
    <t>Member Months</t>
  </si>
  <si>
    <t>Allowable Rating Factor (ARF)</t>
  </si>
  <si>
    <t>Actuarial value (AV)</t>
  </si>
  <si>
    <t>Yellow Bird</t>
  </si>
  <si>
    <t>Blue Note</t>
  </si>
  <si>
    <t>State</t>
  </si>
  <si>
    <t>Fall 2020 SPC #5</t>
  </si>
  <si>
    <t>Short Cohort</t>
  </si>
  <si>
    <t>Long Cohort</t>
  </si>
  <si>
    <t>Age/Gender Factor</t>
  </si>
  <si>
    <t>Condition (ERG) Factor</t>
  </si>
  <si>
    <t>Cohort Weight</t>
  </si>
  <si>
    <t>Your Plan Population</t>
  </si>
  <si>
    <t>• Weighted Condition Factor for all MCOs in Arizona is 0.3652</t>
  </si>
  <si>
    <t>Fall 2020 SPC #6d</t>
  </si>
  <si>
    <t>Risk Adjustment Factor</t>
  </si>
  <si>
    <t>Premium Tax PMPM</t>
  </si>
  <si>
    <t>Bid Admin PMPM</t>
  </si>
  <si>
    <t>Bid Risk Contingency PMPM</t>
  </si>
  <si>
    <t>10-01-20 Capitation Rate Per Member Per Month (PMPM)</t>
  </si>
  <si>
    <t>Non-Medicaid</t>
  </si>
  <si>
    <t>SSI without Medicare</t>
  </si>
  <si>
    <t>SSI with Medicare</t>
  </si>
  <si>
    <t>TANF</t>
  </si>
  <si>
    <t>ABC Insurance Company</t>
  </si>
  <si>
    <t>n/a</t>
  </si>
  <si>
    <t>All MCOs Short Cohort</t>
  </si>
  <si>
    <t>All MCOs Long Cohort</t>
  </si>
  <si>
    <t>ABC Insurance Company Short Cohort</t>
  </si>
  <si>
    <t>ABC Insurance Company Long Cohort</t>
  </si>
  <si>
    <t>Imputed ERG Factor</t>
  </si>
  <si>
    <t>Age/Sex Factor</t>
  </si>
  <si>
    <t>Temporary Assistance for Needy Families (TANF)</t>
  </si>
  <si>
    <t>Budget neutrality adjustment is 1.0.</t>
  </si>
  <si>
    <t>Total average risk score for All MCOs is 0.4028.</t>
  </si>
  <si>
    <t>“Phase-in” weights the condition-based score and the unadjusted capitation rate 80%/20% for the year.</t>
  </si>
  <si>
    <t>The unadjusted capitation rate is 1.0.</t>
  </si>
  <si>
    <t>Members with less than six months of enrollment during the experience period are given a risk factor equal to 50% of their age/sex factor plus 50% of an adjusted plan factor, i.e. imputed ERG factor.</t>
  </si>
  <si>
    <t>The short cohort consists of members with less than 6 months of eligibility during the experience period.</t>
  </si>
  <si>
    <t>The long cohort consists of members with at least 6 months of eligibility during the experience period.</t>
  </si>
  <si>
    <t>Spring 2022 SPC #5b</t>
  </si>
  <si>
    <t>Multiple sclerosis</t>
  </si>
  <si>
    <t>Diabetes with acute complications</t>
  </si>
  <si>
    <t>Diabetes without complications</t>
  </si>
  <si>
    <t>HCC Factors</t>
  </si>
  <si>
    <t>Disease</t>
  </si>
  <si>
    <t>Disease-Related Risk Factors</t>
  </si>
  <si>
    <t>70 – 74</t>
  </si>
  <si>
    <t>Female</t>
  </si>
  <si>
    <t>65 – 69</t>
  </si>
  <si>
    <t>Male</t>
  </si>
  <si>
    <t>Community Members</t>
  </si>
  <si>
    <t>New to Medicare</t>
  </si>
  <si>
    <t>Age Group</t>
  </si>
  <si>
    <t>Age/Gender Risk Factors</t>
  </si>
  <si>
    <t>Plan risk score for the base period</t>
  </si>
  <si>
    <t>·       CMS Coding Adjustment from base year to bid year is 0.98</t>
  </si>
  <si>
    <t>·       Adjustment for the CMS Fee for Service Normalization factor is 1/1.03</t>
  </si>
  <si>
    <t>·       Annual population change factor is 0.5%</t>
  </si>
  <si>
    <t>·       Annual risk score trend is 1.1%</t>
  </si>
  <si>
    <t>None</t>
  </si>
  <si>
    <t>Non-Medicaid, not originally disabled</t>
  </si>
  <si>
    <t>65 Female</t>
  </si>
  <si>
    <t>Two diabetes diagnoses (without complications and neuropathy) and multiple sclerosis</t>
  </si>
  <si>
    <t>Community, non- dual, aged</t>
  </si>
  <si>
    <t>73 Male</t>
  </si>
  <si>
    <t xml:space="preserve">Diabetes without complications and multiple sclerosis </t>
  </si>
  <si>
    <t>71 Male</t>
  </si>
  <si>
    <t>Diagnoses</t>
  </si>
  <si>
    <t>Months in Base Period</t>
  </si>
  <si>
    <t>Status</t>
  </si>
  <si>
    <t>Age and Gender</t>
  </si>
  <si>
    <t>Fall 2022 SPC #5b</t>
  </si>
  <si>
    <t>Members Covered</t>
  </si>
  <si>
    <t>Plan B</t>
  </si>
  <si>
    <t>Plan A</t>
  </si>
  <si>
    <t>Premium (priced at 100% loss ratio)</t>
  </si>
  <si>
    <t>Network Contract Effect</t>
  </si>
  <si>
    <t xml:space="preserve">Geographic Cost Factor (GCF) </t>
  </si>
  <si>
    <t>Induced Demand Factor (IDF)</t>
  </si>
  <si>
    <t xml:space="preserve">Allowable Rating Factor (ARF) </t>
  </si>
  <si>
    <t>Plan Liability Risk Score (PLRS)</t>
  </si>
  <si>
    <t xml:space="preserve">Actuarial Value (AV) </t>
  </si>
  <si>
    <t>respectively. Show your work.</t>
  </si>
  <si>
    <t>assuming the network contract effects of Plan A and B are 0.900 and 1.100,</t>
  </si>
  <si>
    <t>Calculate the net income as a percent of premium for each plan</t>
  </si>
  <si>
    <t>Spring 2023 RM #6c</t>
  </si>
  <si>
    <t>07-01-2021 Capitation Rate Per Member Per Month (PMPM)</t>
  </si>
  <si>
    <t>Supplemental Security Income (SSI) with Medicare</t>
  </si>
  <si>
    <t>XYZ Insurance Company</t>
  </si>
  <si>
    <t>Factor</t>
  </si>
  <si>
    <t>(ERG) Factor</t>
  </si>
  <si>
    <t>Age/Gender</t>
  </si>
  <si>
    <t>Condition</t>
  </si>
  <si>
    <t>All MCOs</t>
  </si>
  <si>
    <t>·        Budget neutrality adjustment is 1.1.</t>
  </si>
  <si>
    <t>·        “Phase-in” weights the condition-based score and the unadjusted capitation rate 80% and 20%, respectively.</t>
  </si>
  <si>
    <t>·        Risk adjustment factors will be retrospectively applied to the capitation payments from 7/1/2021 forward.</t>
  </si>
  <si>
    <t>Fall 2023 RM #7b-c</t>
  </si>
  <si>
    <t>Older Adult</t>
  </si>
  <si>
    <t>Young Adult</t>
  </si>
  <si>
    <t>Insurer B</t>
  </si>
  <si>
    <t>Insurer A</t>
  </si>
  <si>
    <t>Demographics</t>
  </si>
  <si>
    <t>Enrollment</t>
  </si>
  <si>
    <t>With age rating and premiums three times higher for Older Adults than Young Adults.</t>
  </si>
  <si>
    <t>·         No enrollment changes.</t>
  </si>
  <si>
    <t>·         Adequate monthly premiums are $100 for Young Adults and $600 for Older Adults.</t>
  </si>
  <si>
    <t>Fall 2024 RM #5c</t>
  </si>
  <si>
    <t>% of premium</t>
  </si>
  <si>
    <t>Net income</t>
  </si>
  <si>
    <t>Transfers</t>
  </si>
  <si>
    <t>Gain/loss</t>
  </si>
  <si>
    <t>Total premium</t>
  </si>
  <si>
    <t>Ti</t>
  </si>
  <si>
    <t>&lt;---- Right  hand side of the transfer formula</t>
  </si>
  <si>
    <t>w/o risk</t>
  </si>
  <si>
    <t>&lt;---- Left hand side of the transfer formula</t>
  </si>
  <si>
    <t>w/ risk</t>
  </si>
  <si>
    <t>Premium</t>
  </si>
  <si>
    <t>GCF</t>
  </si>
  <si>
    <t>IDF</t>
  </si>
  <si>
    <t>ARF</t>
  </si>
  <si>
    <t>PLRS</t>
  </si>
  <si>
    <t>Member months</t>
  </si>
  <si>
    <t>Average Monthly Premiums</t>
  </si>
  <si>
    <t>Geographic Cost Factor (GCF)</t>
  </si>
  <si>
    <t>&lt;---- assume that Demand and Area factors are both 1.0</t>
  </si>
  <si>
    <t>Rating Factor (ARF)</t>
  </si>
  <si>
    <t>Risk Score (PLRS)</t>
  </si>
  <si>
    <t>Actuarial Value (AV)</t>
  </si>
  <si>
    <t>Relative plan risk</t>
  </si>
  <si>
    <t>= [Long Cohort Risk Factor] × [Long Cohort Weight] + [Short Cohort Risk Factor] × [Short Cohort Weight]</t>
  </si>
  <si>
    <t>&lt;----- Usually this would follow the formula below, but with values used for the entire state … but since none of them are given you just use the given value of Long ERG Factor</t>
  </si>
  <si>
    <t>Total Average Risk Score for the State</t>
  </si>
  <si>
    <t>Statewide</t>
  </si>
  <si>
    <t>Total risk score</t>
  </si>
  <si>
    <t>+ [Short Cohort Weight] × [Short Cohort Weighted Condition Factor]</t>
  </si>
  <si>
    <t>= [Long Cohort Weight] × [Long Cohort Condition (ERG) Factor]</t>
  </si>
  <si>
    <t>Total Average Risk Score for the group</t>
  </si>
  <si>
    <t>= 50% × [Imputed Condition Factor] + 50% × [Short Cohort Age/Gender Factor]</t>
  </si>
  <si>
    <t>3. Short Cohort Weighted Condition Factor</t>
  </si>
  <si>
    <t>= [Relative Condition Factor] × [Short Cohort Age Gender Factor]</t>
  </si>
  <si>
    <t>2. Imputed Condition Factor</t>
  </si>
  <si>
    <t>= [Long Cohort Condition (ERG) Factor] / [Long Cohort Age Gender Factor]</t>
  </si>
  <si>
    <t>1. Relative Condition Factor</t>
  </si>
  <si>
    <t>&lt;---- Given in the study note as 50%</t>
  </si>
  <si>
    <t>Age/Gender Weight</t>
  </si>
  <si>
    <t>ERG Weight</t>
  </si>
  <si>
    <t>Prem tax</t>
  </si>
  <si>
    <t>Risk contin.</t>
  </si>
  <si>
    <t>Cap rate</t>
  </si>
  <si>
    <t>Implied values</t>
  </si>
  <si>
    <t>&lt;--- Final risk-adjusted capitation rate = (risk-adjusted capitation rate before retention + bid risk contingency + bid admin cost) / (1 - % premium tax)</t>
  </si>
  <si>
    <t>Risk-adjusted capitation rate before retention</t>
  </si>
  <si>
    <t>Capitation rate to be risk adjusted</t>
  </si>
  <si>
    <t>Less X% premium tax</t>
  </si>
  <si>
    <t>Less bid admin cost</t>
  </si>
  <si>
    <t>Less bid risk contingency</t>
  </si>
  <si>
    <t>Base capitation rate</t>
  </si>
  <si>
    <t>This final risk score is then used in the capitation rate calculation:</t>
  </si>
  <si>
    <t>(14) Risk score adjustment to capitation rate = (12)/(13)</t>
  </si>
  <si>
    <t>(13) Budget neutrality adjustment</t>
  </si>
  <si>
    <t>(12) Relative risk score with phase-in = 80% * (11) + 20% * 1</t>
  </si>
  <si>
    <t>(11) Relative risk score = Your MCO (10) / All MCO (10)</t>
  </si>
  <si>
    <t>(10) Total average risk score = (8) * (3) + (9) * (7)</t>
  </si>
  <si>
    <t>(9) % of members in short cohort (given)</t>
  </si>
  <si>
    <t>(8) % of members in long cohort (given)</t>
  </si>
  <si>
    <t>(7) Risk factor for short cohort = 50% * (5) + 50% * (6)</t>
  </si>
  <si>
    <t>(6) Adjusted plan factor for short cohort = [(3) / (4)] * (5)</t>
  </si>
  <si>
    <t>(5) Average pure age-gender factor for short cohort (given)</t>
  </si>
  <si>
    <t>(4) Average pure age-gender factor for long cohort (given)</t>
  </si>
  <si>
    <t>(3) Adjusted risk score = (1) / (2) = risk factor for long cohort (given)</t>
  </si>
  <si>
    <t>(2) Scaling factor (given)</t>
  </si>
  <si>
    <t>(1) Unadjusted risk score = sum (risk weight * frequency)</t>
  </si>
  <si>
    <t>ABC MCO</t>
  </si>
  <si>
    <t>We disagree with the trend factors used in the projection since the risk score and population change factors need to be trended for 2 years instead of just 1</t>
  </si>
  <si>
    <t>We disagree with the analysist calculation of the risk score of 1.1 and our risk score calculation is 1.3</t>
  </si>
  <si>
    <t>Projection period average risk score</t>
  </si>
  <si>
    <t>Coding Adjustment</t>
  </si>
  <si>
    <t>Normalization factor</t>
  </si>
  <si>
    <t>&lt;--- population change factor is trended for 2 years</t>
  </si>
  <si>
    <t>Population change</t>
  </si>
  <si>
    <t>&lt;--- risk score is trended for 2 years</t>
  </si>
  <si>
    <t>Factor description</t>
  </si>
  <si>
    <t>Projected risk score calculations</t>
  </si>
  <si>
    <t>Average base period risk score</t>
  </si>
  <si>
    <t>&lt;------ we are assuming that a diabetes diagnoses with neuropathy implies an acute complication (the higher HCC score supersede the lower scores value)</t>
  </si>
  <si>
    <t>Relative cost</t>
  </si>
  <si>
    <t>Network</t>
  </si>
  <si>
    <t>Final risk-adjusted capitation rate = (risk-adjusted capitation rate before retention + bid risk contingency + bid admin cost) / (1 - % premium tax)</t>
  </si>
  <si>
    <t>Less premium tax %</t>
  </si>
  <si>
    <t>Non-Med</t>
  </si>
  <si>
    <t>SSI</t>
  </si>
  <si>
    <t>&lt;----- Assuming that premium tax is based on a % of gross premium</t>
  </si>
  <si>
    <t>Prem tax %</t>
  </si>
  <si>
    <t>(13) Budget neutrality adjustment (given)</t>
  </si>
  <si>
    <t>(11) Relative risk score = Flagstaff (10) / All MCO (10)</t>
  </si>
  <si>
    <t>(3) Adjusted risk score = (1) / (2) = risk factor for long cohort</t>
  </si>
  <si>
    <t>all MCOs</t>
  </si>
  <si>
    <t>XYZ</t>
  </si>
  <si>
    <t>or pmpm transfer</t>
  </si>
  <si>
    <t>These two answers are also acceptable</t>
  </si>
  <si>
    <t xml:space="preserve">Annual transfer total </t>
  </si>
  <si>
    <t>note:</t>
  </si>
  <si>
    <t>insurer B receive fund 200,000</t>
  </si>
  <si>
    <t>Insurer A transfer out fund 200,000</t>
  </si>
  <si>
    <t>Premium Deficiency</t>
  </si>
  <si>
    <t>Allowed Premium</t>
  </si>
  <si>
    <t>x =</t>
  </si>
  <si>
    <t>75,000x = 13,500,000</t>
  </si>
  <si>
    <t>Young Adult Premium</t>
  </si>
  <si>
    <t xml:space="preserve"> 15,000(x) + 20,000 (3x) = 13,500,000</t>
  </si>
  <si>
    <t>Algebra</t>
  </si>
  <si>
    <t>Older Adult Enrollment</t>
  </si>
  <si>
    <t>Young Adult Enrollment</t>
  </si>
  <si>
    <t>Unallowed Premium</t>
  </si>
  <si>
    <t>ii. 3:1 Age Rating</t>
  </si>
  <si>
    <t>insurer B receive fund 714,286</t>
  </si>
  <si>
    <t>Insurer A transfer out fund 714,286</t>
  </si>
  <si>
    <t>Average Premium</t>
  </si>
  <si>
    <t>i. No Age Rating</t>
  </si>
  <si>
    <t>Source: Restoring the Indifference Ideal: If It’s Not Adjusting for “Risk,” It’s Not “Risk Adjustment”</t>
  </si>
  <si>
    <t>CURATED PAST EXAM EXCEL FILES</t>
  </si>
  <si>
    <t>o</t>
  </si>
  <si>
    <t xml:space="preserve">These curated past exam items are intended to allow candidates to focus on past SOA fellowship assessments. These items are organized by topic and learning objective with relevant learning outcomes, source materials, and candidate commentary identified. We have included items that are relevant in the new course structure, and where feasible we have made updates to questions to make them relevant. </t>
  </si>
  <si>
    <t>This file contains the Excel components of the curated past exam questions and solution as applicable.  Candidates should start with the PDF files associated with this course's curated past exams.</t>
  </si>
  <si>
    <t>Candidate solutions other than those presented in this material, if appropriate for the context, could receive full marks. For interpretation items, solutions presented in these documents are not necessarily the only valid solutions.</t>
  </si>
  <si>
    <t>Learning Outcome Statements and supporting syllabus materials may have changed since each exam was administered. New assessment items are developed from the current Learning Outcome Statements and syllabus materials. The inclusion in these curated past exam questions of material that is no longer current does not bring such material into scope for current assessments.</t>
  </si>
  <si>
    <t>Thus, while we have made our best effort and conducted multiple reviews, alignment with the current system or choice of classification may not be perfect. Candidates with questions or ideas for improvement may reach out to education@soa.org.  We expect to make updates annually.</t>
  </si>
  <si>
    <t>Version 2025-1</t>
  </si>
  <si>
    <t>Updated: July 8, 2025</t>
  </si>
  <si>
    <t xml:space="preserve">Copyright © Society of Actuaries </t>
  </si>
  <si>
    <t>GH 301 - Health Analytics and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</si>
</sst>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 numFmtId="165" formatCode="&quot;$&quot;#,##0.00"/>
    <numFmt numFmtId="166" formatCode="&quot;$&quot;#,##0"/>
    <numFmt numFmtId="167" formatCode="0.0%"/>
    <numFmt numFmtId="168" formatCode="_(* #,##0_);_(* \(#,##0\);_(* &quot;-&quot;?_);_(@_)"/>
    <numFmt numFmtId="169" formatCode="_(&quot;$&quot;* #,##0_);_(&quot;$&quot;* \(#,##0\);_(&quot;$&quot;* &quot;-&quot;??_);_(@_)"/>
    <numFmt numFmtId="170" formatCode="0.000"/>
    <numFmt numFmtId="171" formatCode="0.0000"/>
    <numFmt numFmtId="172" formatCode="_(* #,##0.0000_);_(* \(#,##0.0000\);_(* &quot;-&quot;??_);_(@_)"/>
    <numFmt numFmtId="173" formatCode="0.0"/>
    <numFmt numFmtId="174" formatCode="&quot;$&quot;#,##0.0"/>
    <numFmt numFmtId="175" formatCode="_(* #,##0.0_);_(* \(#,##0.0\);_(* &quot;-&quot;?_);_(@_)"/>
    <numFmt numFmtId="176" formatCode="_(* #,##0.0_);_(* \(#,##0.0\);_(* &quot;-&quot;????_);_(@_)"/>
  </numFmts>
  <fonts count="24" x14ac:knownFonts="1">
    <font>
      <sz val="11"/>
      <color theme="1"/>
      <name val="Calibri"/>
      <family val="2"/>
      <scheme val="minor"/>
    </font>
    <font>
      <sz val="11"/>
      <color theme="1"/>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1"/>
      <name val="Calibri"/>
      <family val="2"/>
    </font>
    <font>
      <sz val="12"/>
      <color rgb="FF000000"/>
      <name val="Calibri"/>
      <family val="2"/>
      <scheme val="minor"/>
    </font>
    <font>
      <sz val="12"/>
      <color theme="1"/>
      <name val="Calibri"/>
      <family val="2"/>
      <scheme val="minor"/>
    </font>
    <font>
      <sz val="12"/>
      <color rgb="FF000000"/>
      <name val="Times New Roman"/>
      <family val="1"/>
    </font>
    <font>
      <sz val="12"/>
      <color theme="1"/>
      <name val="Times New Roman"/>
      <family val="1"/>
    </font>
    <font>
      <u/>
      <sz val="11"/>
      <color theme="10"/>
      <name val="Calibri"/>
      <family val="2"/>
      <scheme val="minor"/>
    </font>
    <font>
      <sz val="11"/>
      <name val="Calibri"/>
      <family val="2"/>
      <scheme val="minor"/>
    </font>
    <font>
      <b/>
      <sz val="12"/>
      <color theme="1"/>
      <name val="Calibri"/>
      <family val="2"/>
      <scheme val="minor"/>
    </font>
    <font>
      <u/>
      <sz val="11"/>
      <color theme="1"/>
      <name val="Calibri"/>
      <family val="2"/>
      <scheme val="minor"/>
    </font>
    <font>
      <i/>
      <sz val="11"/>
      <color theme="1"/>
      <name val="Calibri"/>
      <family val="2"/>
      <scheme val="minor"/>
    </font>
    <font>
      <b/>
      <sz val="11"/>
      <name val="Calibri"/>
      <family val="2"/>
      <scheme val="minor"/>
    </font>
    <font>
      <sz val="8"/>
      <color theme="1"/>
      <name val="Calibri"/>
      <family val="2"/>
      <scheme val="minor"/>
    </font>
    <font>
      <b/>
      <u/>
      <sz val="11"/>
      <color theme="1"/>
      <name val="Calibri"/>
      <family val="2"/>
      <scheme val="minor"/>
    </font>
    <font>
      <b/>
      <sz val="26"/>
      <color theme="4"/>
      <name val="Calibri Light"/>
      <family val="2"/>
    </font>
    <font>
      <sz val="11"/>
      <color theme="4"/>
      <name val="Calibri"/>
      <family val="2"/>
      <scheme val="minor"/>
    </font>
    <font>
      <sz val="16"/>
      <color theme="4"/>
      <name val="Calibri Light"/>
      <family val="2"/>
      <scheme val="major"/>
    </font>
    <font>
      <sz val="11"/>
      <name val="Aptos Narrow"/>
      <family val="2"/>
    </font>
    <font>
      <sz val="10"/>
      <color theme="1"/>
      <name val="Calibri"/>
      <family val="2"/>
      <scheme val="minor"/>
    </font>
  </fonts>
  <fills count="6">
    <fill>
      <patternFill patternType="none"/>
    </fill>
    <fill>
      <patternFill patternType="gray125"/>
    </fill>
    <fill>
      <patternFill patternType="solid">
        <fgColor rgb="FFF2F2F2"/>
      </patternFill>
    </fill>
    <fill>
      <patternFill patternType="solid">
        <fgColor rgb="FFA5A5A5"/>
      </patternFill>
    </fill>
    <fill>
      <patternFill patternType="solid">
        <fgColor rgb="FFFFFFCC"/>
      </patternFill>
    </fill>
    <fill>
      <patternFill patternType="solid">
        <fgColor rgb="FF92D050"/>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thin">
        <color rgb="FFB2B2B2"/>
      </left>
      <right style="thin">
        <color rgb="FFB2B2B2"/>
      </right>
      <top/>
      <bottom style="thin">
        <color rgb="FFB2B2B2"/>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2" borderId="1" applyNumberFormat="0" applyAlignment="0" applyProtection="0"/>
    <xf numFmtId="0" fontId="3" fillId="3" borderId="2" applyNumberFormat="0" applyAlignment="0" applyProtection="0"/>
    <xf numFmtId="0" fontId="1" fillId="4" borderId="3" applyNumberFormat="0" applyFont="0" applyAlignment="0" applyProtection="0"/>
    <xf numFmtId="0" fontId="11" fillId="0" borderId="0" applyNumberForma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212">
    <xf numFmtId="0" fontId="0" fillId="0" borderId="0" xfId="0"/>
    <xf numFmtId="0" fontId="0" fillId="0" borderId="4" xfId="0" applyBorder="1" applyAlignment="1">
      <alignment horizontal="center"/>
    </xf>
    <xf numFmtId="0" fontId="0" fillId="0" borderId="4" xfId="0" applyBorder="1"/>
    <xf numFmtId="9" fontId="0" fillId="0" borderId="0" xfId="3" applyFont="1"/>
    <xf numFmtId="6" fontId="7" fillId="0" borderId="0" xfId="0" applyNumberFormat="1" applyFont="1" applyAlignment="1">
      <alignment horizontal="right" vertical="center"/>
    </xf>
    <xf numFmtId="164" fontId="0" fillId="0" borderId="0" xfId="1" applyNumberFormat="1" applyFont="1"/>
    <xf numFmtId="0" fontId="0" fillId="0" borderId="8" xfId="0" applyBorder="1"/>
    <xf numFmtId="6" fontId="0" fillId="0" borderId="0" xfId="0" applyNumberFormat="1"/>
    <xf numFmtId="0" fontId="0" fillId="0" borderId="0" xfId="0" applyAlignment="1">
      <alignment horizontal="left"/>
    </xf>
    <xf numFmtId="10" fontId="7" fillId="0" borderId="0" xfId="0" applyNumberFormat="1" applyFont="1" applyAlignment="1">
      <alignment horizontal="right" vertical="center"/>
    </xf>
    <xf numFmtId="0" fontId="8" fillId="0" borderId="0" xfId="0" applyFont="1" applyAlignment="1">
      <alignment vertical="center"/>
    </xf>
    <xf numFmtId="0" fontId="7" fillId="0" borderId="0" xfId="0" applyFont="1" applyAlignment="1">
      <alignment vertical="center"/>
    </xf>
    <xf numFmtId="0" fontId="7"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left" vertical="center"/>
    </xf>
    <xf numFmtId="0" fontId="0" fillId="0" borderId="0" xfId="0" applyAlignment="1">
      <alignment wrapText="1"/>
    </xf>
    <xf numFmtId="0" fontId="8" fillId="0" borderId="0" xfId="0" applyFont="1" applyAlignment="1">
      <alignment horizontal="center" vertical="center" wrapText="1"/>
    </xf>
    <xf numFmtId="0" fontId="8" fillId="0" borderId="0" xfId="0" applyFont="1" applyAlignment="1">
      <alignment horizontal="right" vertical="center"/>
    </xf>
    <xf numFmtId="0" fontId="0" fillId="0" borderId="0" xfId="0" applyAlignment="1">
      <alignment horizontal="right"/>
    </xf>
    <xf numFmtId="165" fontId="0" fillId="5" borderId="4" xfId="0" applyNumberFormat="1" applyFill="1" applyBorder="1"/>
    <xf numFmtId="0" fontId="0" fillId="5" borderId="4" xfId="0" applyFill="1" applyBorder="1"/>
    <xf numFmtId="0" fontId="3" fillId="3" borderId="2" xfId="5"/>
    <xf numFmtId="0" fontId="2" fillId="2" borderId="1" xfId="4"/>
    <xf numFmtId="0" fontId="0" fillId="4" borderId="9" xfId="6" applyFont="1" applyBorder="1"/>
    <xf numFmtId="0" fontId="0" fillId="0" borderId="5" xfId="0" applyBorder="1"/>
    <xf numFmtId="0" fontId="5" fillId="0" borderId="7" xfId="0" applyFont="1" applyBorder="1"/>
    <xf numFmtId="43" fontId="0" fillId="0" borderId="0" xfId="1" applyFont="1"/>
    <xf numFmtId="166" fontId="0" fillId="0" borderId="0" xfId="0" applyNumberFormat="1"/>
    <xf numFmtId="8" fontId="0" fillId="0" borderId="0" xfId="0" applyNumberFormat="1"/>
    <xf numFmtId="0" fontId="0" fillId="0" borderId="0" xfId="0" applyAlignment="1">
      <alignment horizontal="center" vertical="center" wrapText="1"/>
    </xf>
    <xf numFmtId="9" fontId="0" fillId="0" borderId="0" xfId="0" applyNumberFormat="1"/>
    <xf numFmtId="3" fontId="0" fillId="0" borderId="0" xfId="0" applyNumberFormat="1"/>
    <xf numFmtId="0" fontId="0" fillId="0" borderId="0" xfId="0" applyAlignment="1">
      <alignment horizontal="center"/>
    </xf>
    <xf numFmtId="0" fontId="5" fillId="0" borderId="0" xfId="0" applyFont="1" applyAlignment="1">
      <alignment horizontal="center"/>
    </xf>
    <xf numFmtId="166" fontId="0" fillId="0" borderId="0" xfId="0" applyNumberFormat="1" applyAlignment="1">
      <alignment horizontal="center"/>
    </xf>
    <xf numFmtId="0" fontId="0" fillId="0" borderId="8" xfId="0" applyBorder="1" applyAlignment="1">
      <alignment horizontal="center"/>
    </xf>
    <xf numFmtId="9" fontId="0" fillId="0" borderId="0" xfId="3" applyFont="1" applyAlignment="1">
      <alignment horizontal="center"/>
    </xf>
    <xf numFmtId="6" fontId="9" fillId="0" borderId="0" xfId="0" applyNumberFormat="1" applyFont="1" applyAlignment="1">
      <alignment horizontal="center" vertical="center"/>
    </xf>
    <xf numFmtId="6" fontId="9" fillId="0" borderId="4" xfId="0" applyNumberFormat="1" applyFont="1" applyBorder="1" applyAlignment="1">
      <alignment horizontal="center" vertical="center"/>
    </xf>
    <xf numFmtId="0" fontId="10" fillId="0" borderId="4" xfId="0" applyFont="1" applyBorder="1" applyAlignment="1">
      <alignment vertical="center"/>
    </xf>
    <xf numFmtId="0" fontId="9" fillId="0" borderId="4" xfId="0" applyFont="1" applyBorder="1" applyAlignment="1">
      <alignment horizontal="center" vertical="center"/>
    </xf>
    <xf numFmtId="0" fontId="9" fillId="0" borderId="4" xfId="0" applyFont="1" applyBorder="1" applyAlignment="1">
      <alignment horizontal="center" vertical="center" wrapText="1"/>
    </xf>
    <xf numFmtId="0" fontId="0" fillId="0" borderId="4" xfId="0" applyBorder="1" applyAlignment="1">
      <alignment vertical="top"/>
    </xf>
    <xf numFmtId="0" fontId="9" fillId="0" borderId="0" xfId="0" applyFont="1" applyAlignment="1">
      <alignment horizontal="center" vertical="center" wrapText="1"/>
    </xf>
    <xf numFmtId="0" fontId="5" fillId="0" borderId="8" xfId="0" applyFont="1" applyBorder="1" applyAlignment="1">
      <alignment horizontal="center"/>
    </xf>
    <xf numFmtId="165" fontId="0" fillId="5" borderId="0" xfId="0" applyNumberFormat="1" applyFill="1"/>
    <xf numFmtId="0" fontId="0" fillId="4" borderId="0" xfId="6" applyFont="1" applyBorder="1"/>
    <xf numFmtId="9" fontId="0" fillId="0" borderId="4" xfId="0" applyNumberFormat="1" applyBorder="1"/>
    <xf numFmtId="6" fontId="0" fillId="0" borderId="4" xfId="0" applyNumberFormat="1" applyBorder="1"/>
    <xf numFmtId="167" fontId="0" fillId="0" borderId="0" xfId="3" applyNumberFormat="1" applyFont="1"/>
    <xf numFmtId="6" fontId="0" fillId="0" borderId="4" xfId="0" applyNumberFormat="1" applyBorder="1" applyAlignment="1">
      <alignment horizontal="center"/>
    </xf>
    <xf numFmtId="0" fontId="5" fillId="0" borderId="0" xfId="0" applyFont="1"/>
    <xf numFmtId="0" fontId="0" fillId="0" borderId="4" xfId="0" applyBorder="1" applyAlignment="1">
      <alignment horizontal="center" vertical="center"/>
    </xf>
    <xf numFmtId="0" fontId="0" fillId="0" borderId="4" xfId="0" applyBorder="1" applyAlignment="1">
      <alignment horizontal="center" vertical="center" wrapText="1"/>
    </xf>
    <xf numFmtId="6" fontId="0" fillId="0" borderId="4" xfId="0" applyNumberFormat="1" applyBorder="1" applyAlignment="1">
      <alignment horizontal="center" vertical="center"/>
    </xf>
    <xf numFmtId="165" fontId="0" fillId="0" borderId="0" xfId="0" applyNumberFormat="1"/>
    <xf numFmtId="168" fontId="0" fillId="0" borderId="0" xfId="0" applyNumberFormat="1"/>
    <xf numFmtId="169" fontId="0" fillId="0" borderId="0" xfId="2" applyNumberFormat="1" applyFont="1"/>
    <xf numFmtId="169" fontId="0" fillId="0" borderId="0" xfId="2" applyNumberFormat="1" applyFont="1" applyBorder="1"/>
    <xf numFmtId="0" fontId="12" fillId="0" borderId="0" xfId="0" applyFont="1"/>
    <xf numFmtId="164" fontId="12" fillId="0" borderId="4" xfId="1" applyNumberFormat="1" applyFont="1" applyBorder="1"/>
    <xf numFmtId="0" fontId="0" fillId="0" borderId="4" xfId="2" applyNumberFormat="1" applyFont="1" applyBorder="1"/>
    <xf numFmtId="0" fontId="12" fillId="0" borderId="4" xfId="0" applyFont="1" applyBorder="1" applyAlignment="1">
      <alignment horizontal="center"/>
    </xf>
    <xf numFmtId="0" fontId="13" fillId="0" borderId="4" xfId="0" applyFont="1" applyBorder="1" applyAlignment="1">
      <alignment vertical="center"/>
    </xf>
    <xf numFmtId="164" fontId="0" fillId="0" borderId="4" xfId="1" applyNumberFormat="1" applyFont="1" applyBorder="1"/>
    <xf numFmtId="9" fontId="0" fillId="0" borderId="4" xfId="3" applyFont="1" applyBorder="1"/>
    <xf numFmtId="0" fontId="5" fillId="0" borderId="4" xfId="0" applyFont="1" applyBorder="1" applyAlignment="1">
      <alignment horizontal="center"/>
    </xf>
    <xf numFmtId="9" fontId="0" fillId="0" borderId="0" xfId="3" applyFont="1" applyAlignment="1">
      <alignment horizontal="right"/>
    </xf>
    <xf numFmtId="6" fontId="0" fillId="0" borderId="8" xfId="0" applyNumberFormat="1" applyBorder="1"/>
    <xf numFmtId="43" fontId="0" fillId="0" borderId="8" xfId="1" applyFont="1" applyBorder="1"/>
    <xf numFmtId="167" fontId="0" fillId="5" borderId="4" xfId="3" applyNumberFormat="1" applyFont="1" applyFill="1" applyBorder="1"/>
    <xf numFmtId="165" fontId="0" fillId="0" borderId="8" xfId="0" applyNumberFormat="1" applyBorder="1"/>
    <xf numFmtId="166" fontId="0" fillId="0" borderId="8" xfId="0" applyNumberFormat="1" applyBorder="1"/>
    <xf numFmtId="0" fontId="14" fillId="0" borderId="0" xfId="0" applyFont="1"/>
    <xf numFmtId="2" fontId="14" fillId="0" borderId="0" xfId="0" applyNumberFormat="1" applyFont="1"/>
    <xf numFmtId="8" fontId="14" fillId="0" borderId="0" xfId="0" applyNumberFormat="1" applyFont="1"/>
    <xf numFmtId="2" fontId="0" fillId="0" borderId="0" xfId="0" applyNumberFormat="1"/>
    <xf numFmtId="10" fontId="0" fillId="5" borderId="4" xfId="3" applyNumberFormat="1" applyFont="1" applyFill="1" applyBorder="1"/>
    <xf numFmtId="164" fontId="0" fillId="0" borderId="8" xfId="1" applyNumberFormat="1" applyFont="1" applyBorder="1"/>
    <xf numFmtId="9" fontId="0" fillId="0" borderId="8" xfId="0" applyNumberFormat="1" applyBorder="1"/>
    <xf numFmtId="3" fontId="0" fillId="0" borderId="8" xfId="0" applyNumberFormat="1" applyBorder="1"/>
    <xf numFmtId="164" fontId="0" fillId="0" borderId="0" xfId="1" applyNumberFormat="1" applyFont="1" applyBorder="1"/>
    <xf numFmtId="8" fontId="0" fillId="0" borderId="8" xfId="0" applyNumberFormat="1" applyBorder="1"/>
    <xf numFmtId="166" fontId="0" fillId="0" borderId="8" xfId="0" applyNumberFormat="1" applyBorder="1" applyAlignment="1">
      <alignment horizontal="center"/>
    </xf>
    <xf numFmtId="0" fontId="5" fillId="0" borderId="0" xfId="0" applyFont="1" applyAlignment="1">
      <alignment horizontal="left"/>
    </xf>
    <xf numFmtId="0" fontId="0" fillId="0" borderId="8" xfId="0" applyBorder="1" applyAlignment="1">
      <alignment horizontal="right"/>
    </xf>
    <xf numFmtId="170" fontId="0" fillId="5" borderId="4" xfId="0" applyNumberFormat="1" applyFill="1" applyBorder="1"/>
    <xf numFmtId="171" fontId="0" fillId="5" borderId="4" xfId="0" applyNumberFormat="1" applyFill="1" applyBorder="1"/>
    <xf numFmtId="167" fontId="0" fillId="0" borderId="0" xfId="3" applyNumberFormat="1" applyFont="1" applyAlignment="1">
      <alignment horizontal="center"/>
    </xf>
    <xf numFmtId="166" fontId="0" fillId="5" borderId="4" xfId="0" applyNumberFormat="1" applyFill="1" applyBorder="1"/>
    <xf numFmtId="0" fontId="0" fillId="0" borderId="0" xfId="0" applyAlignment="1">
      <alignment horizontal="center" vertical="center"/>
    </xf>
    <xf numFmtId="0" fontId="0" fillId="0" borderId="10" xfId="0" applyBorder="1" applyAlignment="1">
      <alignment horizontal="center" vertical="center" wrapText="1"/>
    </xf>
    <xf numFmtId="9" fontId="0" fillId="5" borderId="4" xfId="3" applyFont="1" applyFill="1" applyBorder="1"/>
    <xf numFmtId="10" fontId="0" fillId="0" borderId="0" xfId="0" applyNumberFormat="1"/>
    <xf numFmtId="10" fontId="0" fillId="0" borderId="0" xfId="3" applyNumberFormat="1" applyFont="1"/>
    <xf numFmtId="168" fontId="0" fillId="0" borderId="8" xfId="0" applyNumberFormat="1" applyBorder="1"/>
    <xf numFmtId="166" fontId="0" fillId="0" borderId="11" xfId="0" applyNumberFormat="1" applyBorder="1"/>
    <xf numFmtId="0" fontId="0" fillId="0" borderId="11" xfId="0" applyBorder="1"/>
    <xf numFmtId="44" fontId="0" fillId="0" borderId="8" xfId="0" applyNumberFormat="1" applyBorder="1"/>
    <xf numFmtId="44" fontId="0" fillId="0" borderId="0" xfId="8" applyFont="1"/>
    <xf numFmtId="165" fontId="0" fillId="5" borderId="4" xfId="0" applyNumberFormat="1" applyFill="1" applyBorder="1" applyAlignment="1">
      <alignment horizontal="center"/>
    </xf>
    <xf numFmtId="167" fontId="0" fillId="5" borderId="4" xfId="3" applyNumberFormat="1" applyFont="1" applyFill="1" applyBorder="1" applyAlignment="1">
      <alignment horizontal="center"/>
    </xf>
    <xf numFmtId="0" fontId="12" fillId="0" borderId="0" xfId="0" applyFont="1" applyAlignment="1">
      <alignment horizontal="center"/>
    </xf>
    <xf numFmtId="0" fontId="16" fillId="0" borderId="0" xfId="0" applyFont="1"/>
    <xf numFmtId="9" fontId="12" fillId="0" borderId="0" xfId="3" applyFont="1" applyAlignment="1">
      <alignment horizontal="center"/>
    </xf>
    <xf numFmtId="9" fontId="12" fillId="0" borderId="0" xfId="0" applyNumberFormat="1" applyFont="1" applyAlignment="1">
      <alignment horizontal="center"/>
    </xf>
    <xf numFmtId="0" fontId="12" fillId="0" borderId="8" xfId="0" applyFont="1" applyBorder="1" applyAlignment="1">
      <alignment horizontal="center"/>
    </xf>
    <xf numFmtId="0" fontId="4" fillId="0" borderId="0" xfId="0" applyFont="1"/>
    <xf numFmtId="0" fontId="12" fillId="0" borderId="0" xfId="0" applyFont="1" applyAlignment="1">
      <alignment horizontal="left"/>
    </xf>
    <xf numFmtId="0" fontId="0" fillId="0" borderId="12" xfId="0" applyBorder="1"/>
    <xf numFmtId="0" fontId="0" fillId="0" borderId="13" xfId="0" applyBorder="1"/>
    <xf numFmtId="166" fontId="0" fillId="0" borderId="12" xfId="0" applyNumberFormat="1" applyBorder="1"/>
    <xf numFmtId="166" fontId="0" fillId="0" borderId="13" xfId="0" applyNumberFormat="1" applyBorder="1"/>
    <xf numFmtId="9" fontId="0" fillId="0" borderId="12" xfId="3" applyFont="1" applyBorder="1" applyAlignment="1">
      <alignment horizontal="center"/>
    </xf>
    <xf numFmtId="9" fontId="0" fillId="0" borderId="0" xfId="3" applyFont="1" applyBorder="1" applyAlignment="1">
      <alignment horizontal="center"/>
    </xf>
    <xf numFmtId="9" fontId="0" fillId="0" borderId="13" xfId="3" applyFont="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0" xfId="0" applyBorder="1" applyAlignment="1">
      <alignment horizontal="center"/>
    </xf>
    <xf numFmtId="0" fontId="0" fillId="0" borderId="14" xfId="0" applyBorder="1"/>
    <xf numFmtId="0" fontId="0" fillId="0" borderId="10" xfId="0" applyBorder="1"/>
    <xf numFmtId="166" fontId="0" fillId="5" borderId="15" xfId="0" applyNumberFormat="1" applyFill="1" applyBorder="1"/>
    <xf numFmtId="0" fontId="15" fillId="0" borderId="0" xfId="0" applyFont="1"/>
    <xf numFmtId="170" fontId="0" fillId="0" borderId="0" xfId="0" applyNumberFormat="1"/>
    <xf numFmtId="170" fontId="0" fillId="0" borderId="8" xfId="0" applyNumberFormat="1" applyBorder="1"/>
    <xf numFmtId="10" fontId="0" fillId="0" borderId="8" xfId="0" applyNumberFormat="1" applyBorder="1"/>
    <xf numFmtId="3" fontId="0" fillId="0" borderId="12" xfId="0" applyNumberFormat="1" applyBorder="1" applyAlignment="1">
      <alignment horizontal="center"/>
    </xf>
    <xf numFmtId="3" fontId="0" fillId="0" borderId="0" xfId="1" applyNumberFormat="1" applyFont="1" applyAlignment="1">
      <alignment horizontal="center"/>
    </xf>
    <xf numFmtId="3" fontId="0" fillId="0" borderId="14" xfId="0" applyNumberFormat="1" applyBorder="1" applyAlignment="1">
      <alignment horizontal="center"/>
    </xf>
    <xf numFmtId="3" fontId="0" fillId="0" borderId="8" xfId="1" applyNumberFormat="1" applyFont="1" applyBorder="1" applyAlignment="1">
      <alignment horizontal="center"/>
    </xf>
    <xf numFmtId="3" fontId="0" fillId="0" borderId="0" xfId="0" applyNumberFormat="1" applyAlignment="1">
      <alignment horizontal="center"/>
    </xf>
    <xf numFmtId="3" fontId="0" fillId="0" borderId="8" xfId="0" applyNumberFormat="1" applyBorder="1" applyAlignment="1">
      <alignment horizontal="center"/>
    </xf>
    <xf numFmtId="0" fontId="11" fillId="0" borderId="0" xfId="7"/>
    <xf numFmtId="0" fontId="5" fillId="0" borderId="6" xfId="0" applyFont="1" applyBorder="1"/>
    <xf numFmtId="0" fontId="0" fillId="0" borderId="17" xfId="0" applyBorder="1" applyAlignment="1">
      <alignment horizontal="center"/>
    </xf>
    <xf numFmtId="0" fontId="0" fillId="0" borderId="18" xfId="0" applyBorder="1" applyAlignment="1">
      <alignment horizontal="center"/>
    </xf>
    <xf numFmtId="0" fontId="0" fillId="0" borderId="16" xfId="0" applyBorder="1" applyAlignment="1">
      <alignment horizontal="center" vertical="center" wrapText="1"/>
    </xf>
    <xf numFmtId="43" fontId="0" fillId="0" borderId="0" xfId="0" applyNumberFormat="1"/>
    <xf numFmtId="0" fontId="18" fillId="0" borderId="0" xfId="0" applyFont="1"/>
    <xf numFmtId="172" fontId="0" fillId="5" borderId="4" xfId="1" applyNumberFormat="1" applyFont="1" applyFill="1" applyBorder="1"/>
    <xf numFmtId="172" fontId="0" fillId="5" borderId="17" xfId="1" applyNumberFormat="1" applyFont="1" applyFill="1" applyBorder="1"/>
    <xf numFmtId="0" fontId="0" fillId="0" borderId="8" xfId="0" applyBorder="1" applyAlignment="1">
      <alignment horizontal="center" vertical="center"/>
    </xf>
    <xf numFmtId="165" fontId="0" fillId="0" borderId="0" xfId="1" applyNumberFormat="1" applyFont="1" applyAlignment="1">
      <alignment horizontal="center"/>
    </xf>
    <xf numFmtId="165" fontId="0" fillId="0" borderId="8" xfId="1" applyNumberFormat="1" applyFont="1" applyBorder="1" applyAlignment="1">
      <alignment horizontal="center"/>
    </xf>
    <xf numFmtId="164" fontId="0" fillId="0" borderId="0" xfId="0" applyNumberFormat="1"/>
    <xf numFmtId="167" fontId="0" fillId="0" borderId="0" xfId="3" applyNumberFormat="1" applyFont="1" applyFill="1"/>
    <xf numFmtId="164" fontId="0" fillId="0" borderId="0" xfId="9" applyNumberFormat="1" applyFont="1"/>
    <xf numFmtId="0" fontId="5" fillId="0" borderId="8" xfId="0" applyFont="1" applyBorder="1"/>
    <xf numFmtId="44" fontId="0" fillId="0" borderId="0" xfId="0" applyNumberFormat="1"/>
    <xf numFmtId="0" fontId="14" fillId="0" borderId="0" xfId="0" applyFont="1" applyAlignment="1">
      <alignment horizontal="right"/>
    </xf>
    <xf numFmtId="169" fontId="0" fillId="0" borderId="0" xfId="0" applyNumberFormat="1"/>
    <xf numFmtId="173" fontId="0" fillId="0" borderId="0" xfId="0" applyNumberFormat="1"/>
    <xf numFmtId="174" fontId="0" fillId="0" borderId="0" xfId="0" applyNumberFormat="1"/>
    <xf numFmtId="172" fontId="0" fillId="0" borderId="0" xfId="1" applyNumberFormat="1" applyFont="1"/>
    <xf numFmtId="175" fontId="0" fillId="0" borderId="0" xfId="0" applyNumberFormat="1"/>
    <xf numFmtId="176" fontId="0" fillId="0" borderId="0" xfId="0" applyNumberFormat="1"/>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6" fontId="0" fillId="0" borderId="0" xfId="0" applyNumberFormat="1" applyAlignment="1">
      <alignment horizontal="center"/>
    </xf>
    <xf numFmtId="9" fontId="0" fillId="0" borderId="0" xfId="0" applyNumberFormat="1" applyAlignment="1">
      <alignment horizontal="center"/>
    </xf>
    <xf numFmtId="0" fontId="0" fillId="0" borderId="4" xfId="0" applyBorder="1" applyAlignment="1">
      <alignment horizontal="right"/>
    </xf>
    <xf numFmtId="0" fontId="0" fillId="0" borderId="4" xfId="0" applyBorder="1" applyAlignment="1">
      <alignment horizontal="right" wrapText="1"/>
    </xf>
    <xf numFmtId="0" fontId="0" fillId="0" borderId="22" xfId="0" applyBorder="1" applyAlignment="1">
      <alignment horizontal="center"/>
    </xf>
    <xf numFmtId="0" fontId="0" fillId="0" borderId="22" xfId="0" applyBorder="1" applyAlignment="1">
      <alignment horizontal="center" wrapText="1"/>
    </xf>
    <xf numFmtId="0" fontId="0" fillId="0" borderId="15" xfId="0" applyBorder="1" applyAlignment="1">
      <alignment horizontal="centerContinuous"/>
    </xf>
    <xf numFmtId="0" fontId="0" fillId="0" borderId="11" xfId="0" applyBorder="1" applyAlignment="1">
      <alignment horizontal="centerContinuous"/>
    </xf>
    <xf numFmtId="0" fontId="0" fillId="0" borderId="16" xfId="0" applyBorder="1" applyAlignment="1">
      <alignment horizontal="centerContinuous"/>
    </xf>
    <xf numFmtId="10" fontId="0" fillId="0" borderId="0" xfId="3" applyNumberFormat="1" applyFont="1" applyAlignment="1">
      <alignment horizontal="center"/>
    </xf>
    <xf numFmtId="166" fontId="0" fillId="5" borderId="4" xfId="0" applyNumberFormat="1" applyFill="1" applyBorder="1" applyAlignment="1">
      <alignment horizontal="center"/>
    </xf>
    <xf numFmtId="8" fontId="0" fillId="0" borderId="0" xfId="0" applyNumberFormat="1" applyAlignment="1">
      <alignment horizontal="center"/>
    </xf>
    <xf numFmtId="170" fontId="0" fillId="0" borderId="0" xfId="0" applyNumberFormat="1" applyAlignment="1">
      <alignment horizontal="center"/>
    </xf>
    <xf numFmtId="0" fontId="0" fillId="0" borderId="0" xfId="0" quotePrefix="1"/>
    <xf numFmtId="171" fontId="0" fillId="0" borderId="0" xfId="0" applyNumberFormat="1"/>
    <xf numFmtId="44" fontId="0" fillId="5" borderId="4" xfId="2" applyFont="1" applyFill="1" applyBorder="1"/>
    <xf numFmtId="0" fontId="0" fillId="0" borderId="0" xfId="0" applyAlignment="1">
      <alignment horizontal="left" indent="1"/>
    </xf>
    <xf numFmtId="171" fontId="0" fillId="0" borderId="8" xfId="0" applyNumberFormat="1" applyBorder="1"/>
    <xf numFmtId="10" fontId="0" fillId="5" borderId="4" xfId="3" applyNumberFormat="1" applyFont="1" applyFill="1" applyBorder="1" applyAlignment="1">
      <alignment horizontal="center"/>
    </xf>
    <xf numFmtId="2" fontId="0" fillId="0" borderId="0" xfId="0" applyNumberFormat="1" applyAlignment="1">
      <alignment horizontal="center"/>
    </xf>
    <xf numFmtId="165" fontId="0" fillId="0" borderId="4" xfId="0" applyNumberFormat="1" applyBorder="1"/>
    <xf numFmtId="164" fontId="0" fillId="0" borderId="4" xfId="1" applyNumberFormat="1" applyFont="1" applyBorder="1" applyAlignment="1">
      <alignment horizontal="right"/>
    </xf>
    <xf numFmtId="0" fontId="5" fillId="0" borderId="7" xfId="0" applyFont="1" applyBorder="1" applyAlignment="1">
      <alignment horizontal="center"/>
    </xf>
    <xf numFmtId="0" fontId="5" fillId="0" borderId="6" xfId="0" applyFont="1" applyBorder="1" applyAlignment="1">
      <alignment horizontal="center"/>
    </xf>
    <xf numFmtId="0" fontId="5" fillId="0" borderId="5" xfId="0" applyFont="1" applyBorder="1" applyAlignment="1">
      <alignment horizontal="center"/>
    </xf>
    <xf numFmtId="0" fontId="0" fillId="0" borderId="0" xfId="0" applyAlignment="1">
      <alignment horizontal="center"/>
    </xf>
    <xf numFmtId="0" fontId="0" fillId="0" borderId="4" xfId="0" applyBorder="1" applyAlignment="1">
      <alignment horizontal="center" vertical="center" wrapText="1"/>
    </xf>
    <xf numFmtId="0" fontId="9" fillId="0" borderId="4" xfId="0" applyFont="1" applyBorder="1" applyAlignment="1">
      <alignment horizontal="center" vertical="center" wrapText="1"/>
    </xf>
    <xf numFmtId="0" fontId="0" fillId="0" borderId="4" xfId="0" applyBorder="1" applyAlignment="1">
      <alignment horizontal="center"/>
    </xf>
    <xf numFmtId="0" fontId="0" fillId="0" borderId="4" xfId="0" applyBorder="1" applyAlignment="1">
      <alignment horizontal="left" vertical="top" wrapText="1"/>
    </xf>
    <xf numFmtId="0" fontId="0" fillId="0" borderId="4" xfId="0" applyBorder="1" applyAlignment="1">
      <alignment horizontal="center" wrapText="1"/>
    </xf>
    <xf numFmtId="0" fontId="15" fillId="0" borderId="0" xfId="0" applyFont="1" applyAlignment="1">
      <alignment horizontal="left" vertical="top" wrapText="1"/>
    </xf>
    <xf numFmtId="0" fontId="12" fillId="0" borderId="4" xfId="0" applyFont="1" applyBorder="1" applyAlignment="1">
      <alignment horizontal="center"/>
    </xf>
    <xf numFmtId="0" fontId="0" fillId="0" borderId="16" xfId="0" applyBorder="1" applyAlignment="1">
      <alignment horizontal="center"/>
    </xf>
    <xf numFmtId="0" fontId="0" fillId="0" borderId="11" xfId="0" applyBorder="1" applyAlignment="1">
      <alignment horizontal="center"/>
    </xf>
    <xf numFmtId="0" fontId="0" fillId="0" borderId="15" xfId="0" applyBorder="1" applyAlignment="1">
      <alignment horizontal="center"/>
    </xf>
    <xf numFmtId="0" fontId="0" fillId="0" borderId="10" xfId="0" applyBorder="1" applyAlignment="1">
      <alignment horizontal="center"/>
    </xf>
    <xf numFmtId="0" fontId="0" fillId="0" borderId="8" xfId="0" applyBorder="1" applyAlignment="1">
      <alignment horizontal="center"/>
    </xf>
    <xf numFmtId="0" fontId="0" fillId="0" borderId="14" xfId="0" applyBorder="1" applyAlignment="1">
      <alignment horizontal="center"/>
    </xf>
    <xf numFmtId="0" fontId="8" fillId="0" borderId="0" xfId="0" applyFont="1" applyAlignment="1">
      <alignment horizontal="center" vertical="center"/>
    </xf>
    <xf numFmtId="0" fontId="14" fillId="0" borderId="0" xfId="0" applyFont="1" applyAlignment="1">
      <alignment horizontal="center"/>
    </xf>
    <xf numFmtId="0" fontId="0" fillId="0" borderId="16" xfId="0" applyBorder="1" applyAlignment="1">
      <alignment horizontal="center" wrapText="1"/>
    </xf>
    <xf numFmtId="0" fontId="0" fillId="0" borderId="15" xfId="0" applyBorder="1" applyAlignment="1">
      <alignment horizontal="center" wrapText="1"/>
    </xf>
    <xf numFmtId="0" fontId="19" fillId="0" borderId="0" xfId="0" applyFont="1" applyAlignment="1">
      <alignment horizontal="center"/>
    </xf>
    <xf numFmtId="0" fontId="20" fillId="0" borderId="0" xfId="0" applyFont="1"/>
    <xf numFmtId="0" fontId="21" fillId="0" borderId="0" xfId="0" applyFont="1" applyAlignment="1">
      <alignment horizontal="center"/>
    </xf>
    <xf numFmtId="0" fontId="0" fillId="0" borderId="0" xfId="0" applyAlignment="1">
      <alignment horizontal="right" vertical="top" indent="1"/>
    </xf>
    <xf numFmtId="0" fontId="22" fillId="0" borderId="0" xfId="0" applyFont="1" applyAlignment="1">
      <alignment horizontal="left" wrapText="1"/>
    </xf>
    <xf numFmtId="0" fontId="22" fillId="0" borderId="0" xfId="0" applyFont="1"/>
    <xf numFmtId="0" fontId="23" fillId="0" borderId="0" xfId="0" applyFont="1" applyAlignment="1">
      <alignment horizontal="left"/>
    </xf>
    <xf numFmtId="0" fontId="23" fillId="0" borderId="0" xfId="0" applyFont="1" applyAlignment="1">
      <alignment horizontal="center"/>
    </xf>
    <xf numFmtId="0" fontId="23" fillId="0" borderId="0" xfId="0" applyFont="1" applyAlignment="1">
      <alignment horizontal="right"/>
    </xf>
  </cellXfs>
  <cellStyles count="10">
    <cellStyle name="Calculation" xfId="4" builtinId="22"/>
    <cellStyle name="Check Cell" xfId="5" builtinId="23"/>
    <cellStyle name="Comma" xfId="1" builtinId="3"/>
    <cellStyle name="Comma 2" xfId="9" xr:uid="{D44E0103-CD09-457D-A4DB-3482FE31A837}"/>
    <cellStyle name="Currency" xfId="2" builtinId="4"/>
    <cellStyle name="Currency 2" xfId="8" xr:uid="{D43A17C5-8E08-4CBB-98E0-BD39B69FD421}"/>
    <cellStyle name="Hyperlink" xfId="7" builtinId="8"/>
    <cellStyle name="Normal" xfId="0" builtinId="0"/>
    <cellStyle name="Note" xfId="6" builtinId="1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pivotCacheDefinition" Target="pivotCache/pivotCacheDefinition1.xml"/><Relationship Id="rId79"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ustomXml" Target="../customXml/item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1.xml"/><Relationship Id="rId78" Type="http://schemas.openxmlformats.org/officeDocument/2006/relationships/sheetMetadata" Target="metadata.xml"/><Relationship Id="rId8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171451</xdr:rowOff>
    </xdr:from>
    <xdr:to>
      <xdr:col>2</xdr:col>
      <xdr:colOff>495301</xdr:colOff>
      <xdr:row>3</xdr:row>
      <xdr:rowOff>129827</xdr:rowOff>
    </xdr:to>
    <xdr:pic>
      <xdr:nvPicPr>
        <xdr:cNvPr id="2" name="Picture 1">
          <a:extLst>
            <a:ext uri="{FF2B5EF4-FFF2-40B4-BE49-F238E27FC236}">
              <a16:creationId xmlns:a16="http://schemas.microsoft.com/office/drawing/2014/main" id="{1C5D75AF-32B0-4D70-80CD-7292DE639F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171451"/>
          <a:ext cx="1524000" cy="508921"/>
        </a:xfrm>
        <a:prstGeom prst="rect">
          <a:avLst/>
        </a:prstGeom>
      </xdr:spPr>
    </xdr:pic>
    <xdr:clientData/>
  </xdr:twoCellAnchor>
  <xdr:twoCellAnchor>
    <xdr:from>
      <xdr:col>0</xdr:col>
      <xdr:colOff>285750</xdr:colOff>
      <xdr:row>8</xdr:row>
      <xdr:rowOff>57150</xdr:rowOff>
    </xdr:from>
    <xdr:to>
      <xdr:col>9</xdr:col>
      <xdr:colOff>590550</xdr:colOff>
      <xdr:row>8</xdr:row>
      <xdr:rowOff>66675</xdr:rowOff>
    </xdr:to>
    <xdr:cxnSp macro="">
      <xdr:nvCxnSpPr>
        <xdr:cNvPr id="3" name="Straight Connector 2">
          <a:extLst>
            <a:ext uri="{FF2B5EF4-FFF2-40B4-BE49-F238E27FC236}">
              <a16:creationId xmlns:a16="http://schemas.microsoft.com/office/drawing/2014/main" id="{7BC251E9-5E10-47EE-8600-B7B1581A3DF1}"/>
            </a:ext>
          </a:extLst>
        </xdr:cNvPr>
        <xdr:cNvCxnSpPr/>
      </xdr:nvCxnSpPr>
      <xdr:spPr>
        <a:xfrm>
          <a:off x="285750" y="1741170"/>
          <a:ext cx="5791200" cy="9525"/>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295275</xdr:colOff>
      <xdr:row>4</xdr:row>
      <xdr:rowOff>152400</xdr:rowOff>
    </xdr:from>
    <xdr:to>
      <xdr:col>9</xdr:col>
      <xdr:colOff>600075</xdr:colOff>
      <xdr:row>4</xdr:row>
      <xdr:rowOff>161925</xdr:rowOff>
    </xdr:to>
    <xdr:cxnSp macro="">
      <xdr:nvCxnSpPr>
        <xdr:cNvPr id="4" name="Straight Connector 3">
          <a:extLst>
            <a:ext uri="{FF2B5EF4-FFF2-40B4-BE49-F238E27FC236}">
              <a16:creationId xmlns:a16="http://schemas.microsoft.com/office/drawing/2014/main" id="{922259C4-AA82-4E87-AB8A-E9E38CB8C056}"/>
            </a:ext>
          </a:extLst>
        </xdr:cNvPr>
        <xdr:cNvCxnSpPr/>
      </xdr:nvCxnSpPr>
      <xdr:spPr>
        <a:xfrm>
          <a:off x="295275" y="883920"/>
          <a:ext cx="5791200" cy="9525"/>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etyofactuaries-my.sharepoint.com/personal/dnorris_soa_org/Documents/Documents/Projects/2025-26%20Curriculum/FINAL%20GUIDED%20EXAMPLES/Fully%20Assembled/CFE101%20Guided%20Examples%202025-2026.xlsx" TargetMode="External"/><Relationship Id="rId1" Type="http://schemas.openxmlformats.org/officeDocument/2006/relationships/externalLinkPath" Target="/personal/dnorris_soa_org/Documents/Documents/Projects/2025-26%20Curriculum/FINAL%20GUIDED%20EXAMPLES/Fully%20Assembled/CFE101%20Guided%20Examples%202025-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
      <sheetName val="S1"/>
      <sheetName val="Q1.1"/>
      <sheetName val="A1.1"/>
      <sheetName val="Q1.2"/>
      <sheetName val="A1.2"/>
      <sheetName val="S2"/>
      <sheetName val="Q2.1"/>
      <sheetName val="A2.1"/>
      <sheetName val="Q2.2"/>
      <sheetName val="A2.2"/>
      <sheetName val="S3"/>
      <sheetName val="Q3.1"/>
      <sheetName val="A3.1"/>
      <sheetName val="S4"/>
      <sheetName val="Q4.1"/>
      <sheetName val="A4.1"/>
      <sheetName val="S5"/>
      <sheetName val="Q5.1"/>
      <sheetName val="A5.1"/>
      <sheetName val="Q5.2"/>
      <sheetName val="A5.2"/>
      <sheetName val="S6"/>
      <sheetName val="Q6.1"/>
      <sheetName val="A6.1"/>
      <sheetName val="S7"/>
      <sheetName val="Q7.1"/>
      <sheetName val="A7.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c4a480dfcabb93f7/OneDrive%20-%20Exams/RM/Practice%20Problems/RM%20Spring%202024.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557.487221875002" createdVersion="8" refreshedVersion="8" minRefreshableVersion="3" recordCount="300" xr:uid="{E613B0B2-4435-4D88-B8DA-4980B3E43668}">
  <cacheSource type="worksheet">
    <worksheetSource ref="C36:I336" sheet="Spring 2024 RM #6b" r:id="rId2"/>
  </cacheSource>
  <cacheFields count="7">
    <cacheField name="Member ID" numFmtId="0">
      <sharedItems containsSemiMixedTypes="0" containsString="0" containsNumber="1" containsInteger="1" minValue="1" maxValue="300"/>
    </cacheField>
    <cacheField name="Participates in Palliative Care Program" numFmtId="0">
      <sharedItems count="2">
        <s v="Yes"/>
        <s v="No"/>
      </sharedItems>
    </cacheField>
    <cacheField name="County" numFmtId="0">
      <sharedItems count="10">
        <s v="H"/>
        <s v="E"/>
        <s v="B"/>
        <s v="A"/>
        <s v="I"/>
        <s v="G"/>
        <s v="D"/>
        <s v="C"/>
        <s v="J"/>
        <s v="F"/>
      </sharedItems>
    </cacheField>
    <cacheField name="Age" numFmtId="0">
      <sharedItems containsSemiMixedTypes="0" containsString="0" containsNumber="1" containsInteger="1" minValue="65" maxValue="80" count="16">
        <n v="66"/>
        <n v="74"/>
        <n v="73"/>
        <n v="78"/>
        <n v="72"/>
        <n v="68"/>
        <n v="70"/>
        <n v="71"/>
        <n v="69"/>
        <n v="79"/>
        <n v="67"/>
        <n v="75"/>
        <n v="76"/>
        <n v="77"/>
        <n v="65"/>
        <n v="80"/>
      </sharedItems>
    </cacheField>
    <cacheField name="Gender" numFmtId="0">
      <sharedItems count="2">
        <s v="F"/>
        <s v="M"/>
      </sharedItems>
    </cacheField>
    <cacheField name="IP Admissions in the Last 6 Months of Life" numFmtId="0">
      <sharedItems containsSemiMixedTypes="0" containsString="0" containsNumber="1" containsInteger="1" minValue="0" maxValue="4"/>
    </cacheField>
    <cacheField name="ED Visits in the Last 6 Months of Life" numFmtId="0">
      <sharedItems containsSemiMixedTypes="0" containsString="0" containsNumber="1" containsInteger="1" minValue="0" maxValue="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0">
  <r>
    <n v="1"/>
    <x v="0"/>
    <x v="0"/>
    <x v="0"/>
    <x v="0"/>
    <n v="0"/>
    <n v="0"/>
  </r>
  <r>
    <n v="2"/>
    <x v="0"/>
    <x v="1"/>
    <x v="1"/>
    <x v="1"/>
    <n v="0"/>
    <n v="0"/>
  </r>
  <r>
    <n v="3"/>
    <x v="0"/>
    <x v="2"/>
    <x v="2"/>
    <x v="1"/>
    <n v="0"/>
    <n v="0"/>
  </r>
  <r>
    <n v="4"/>
    <x v="0"/>
    <x v="3"/>
    <x v="3"/>
    <x v="0"/>
    <n v="1"/>
    <n v="1"/>
  </r>
  <r>
    <n v="5"/>
    <x v="0"/>
    <x v="4"/>
    <x v="0"/>
    <x v="1"/>
    <n v="0"/>
    <n v="1"/>
  </r>
  <r>
    <n v="6"/>
    <x v="0"/>
    <x v="5"/>
    <x v="4"/>
    <x v="0"/>
    <n v="0"/>
    <n v="0"/>
  </r>
  <r>
    <n v="7"/>
    <x v="0"/>
    <x v="1"/>
    <x v="1"/>
    <x v="0"/>
    <n v="0"/>
    <n v="0"/>
  </r>
  <r>
    <n v="8"/>
    <x v="0"/>
    <x v="6"/>
    <x v="5"/>
    <x v="1"/>
    <n v="0"/>
    <n v="0"/>
  </r>
  <r>
    <n v="9"/>
    <x v="0"/>
    <x v="3"/>
    <x v="6"/>
    <x v="0"/>
    <n v="1"/>
    <n v="2"/>
  </r>
  <r>
    <n v="10"/>
    <x v="0"/>
    <x v="1"/>
    <x v="0"/>
    <x v="1"/>
    <n v="0"/>
    <n v="0"/>
  </r>
  <r>
    <n v="11"/>
    <x v="0"/>
    <x v="7"/>
    <x v="7"/>
    <x v="1"/>
    <n v="0"/>
    <n v="0"/>
  </r>
  <r>
    <n v="12"/>
    <x v="0"/>
    <x v="8"/>
    <x v="8"/>
    <x v="0"/>
    <n v="1"/>
    <n v="1"/>
  </r>
  <r>
    <n v="13"/>
    <x v="0"/>
    <x v="2"/>
    <x v="5"/>
    <x v="1"/>
    <n v="0"/>
    <n v="0"/>
  </r>
  <r>
    <n v="14"/>
    <x v="0"/>
    <x v="2"/>
    <x v="8"/>
    <x v="0"/>
    <n v="2"/>
    <n v="3"/>
  </r>
  <r>
    <n v="15"/>
    <x v="0"/>
    <x v="5"/>
    <x v="1"/>
    <x v="0"/>
    <n v="1"/>
    <n v="0"/>
  </r>
  <r>
    <n v="16"/>
    <x v="0"/>
    <x v="9"/>
    <x v="9"/>
    <x v="1"/>
    <n v="0"/>
    <n v="0"/>
  </r>
  <r>
    <n v="17"/>
    <x v="0"/>
    <x v="5"/>
    <x v="3"/>
    <x v="0"/>
    <n v="1"/>
    <n v="1"/>
  </r>
  <r>
    <n v="18"/>
    <x v="0"/>
    <x v="9"/>
    <x v="7"/>
    <x v="1"/>
    <n v="0"/>
    <n v="0"/>
  </r>
  <r>
    <n v="19"/>
    <x v="0"/>
    <x v="8"/>
    <x v="6"/>
    <x v="1"/>
    <n v="0"/>
    <n v="0"/>
  </r>
  <r>
    <n v="20"/>
    <x v="0"/>
    <x v="3"/>
    <x v="10"/>
    <x v="1"/>
    <n v="0"/>
    <n v="1"/>
  </r>
  <r>
    <n v="21"/>
    <x v="0"/>
    <x v="7"/>
    <x v="11"/>
    <x v="1"/>
    <n v="1"/>
    <n v="0"/>
  </r>
  <r>
    <n v="22"/>
    <x v="0"/>
    <x v="3"/>
    <x v="12"/>
    <x v="0"/>
    <n v="0"/>
    <n v="0"/>
  </r>
  <r>
    <n v="23"/>
    <x v="0"/>
    <x v="2"/>
    <x v="1"/>
    <x v="0"/>
    <n v="1"/>
    <n v="1"/>
  </r>
  <r>
    <n v="24"/>
    <x v="0"/>
    <x v="7"/>
    <x v="2"/>
    <x v="1"/>
    <n v="1"/>
    <n v="1"/>
  </r>
  <r>
    <n v="25"/>
    <x v="0"/>
    <x v="0"/>
    <x v="13"/>
    <x v="1"/>
    <n v="0"/>
    <n v="2"/>
  </r>
  <r>
    <n v="26"/>
    <x v="0"/>
    <x v="5"/>
    <x v="8"/>
    <x v="0"/>
    <n v="0"/>
    <n v="0"/>
  </r>
  <r>
    <n v="27"/>
    <x v="0"/>
    <x v="3"/>
    <x v="0"/>
    <x v="1"/>
    <n v="0"/>
    <n v="0"/>
  </r>
  <r>
    <n v="28"/>
    <x v="0"/>
    <x v="8"/>
    <x v="4"/>
    <x v="1"/>
    <n v="0"/>
    <n v="0"/>
  </r>
  <r>
    <n v="29"/>
    <x v="0"/>
    <x v="0"/>
    <x v="9"/>
    <x v="0"/>
    <n v="2"/>
    <n v="2"/>
  </r>
  <r>
    <n v="30"/>
    <x v="0"/>
    <x v="9"/>
    <x v="8"/>
    <x v="0"/>
    <n v="0"/>
    <n v="0"/>
  </r>
  <r>
    <n v="31"/>
    <x v="0"/>
    <x v="7"/>
    <x v="11"/>
    <x v="0"/>
    <n v="0"/>
    <n v="0"/>
  </r>
  <r>
    <n v="32"/>
    <x v="0"/>
    <x v="7"/>
    <x v="13"/>
    <x v="1"/>
    <n v="0"/>
    <n v="0"/>
  </r>
  <r>
    <n v="33"/>
    <x v="0"/>
    <x v="7"/>
    <x v="0"/>
    <x v="1"/>
    <n v="0"/>
    <n v="0"/>
  </r>
  <r>
    <n v="34"/>
    <x v="0"/>
    <x v="5"/>
    <x v="12"/>
    <x v="0"/>
    <n v="2"/>
    <n v="4"/>
  </r>
  <r>
    <n v="35"/>
    <x v="0"/>
    <x v="4"/>
    <x v="4"/>
    <x v="0"/>
    <n v="2"/>
    <n v="2"/>
  </r>
  <r>
    <n v="36"/>
    <x v="0"/>
    <x v="6"/>
    <x v="1"/>
    <x v="0"/>
    <n v="0"/>
    <n v="0"/>
  </r>
  <r>
    <n v="37"/>
    <x v="0"/>
    <x v="5"/>
    <x v="9"/>
    <x v="0"/>
    <n v="1"/>
    <n v="1"/>
  </r>
  <r>
    <n v="38"/>
    <x v="0"/>
    <x v="0"/>
    <x v="14"/>
    <x v="1"/>
    <n v="0"/>
    <n v="0"/>
  </r>
  <r>
    <n v="39"/>
    <x v="0"/>
    <x v="0"/>
    <x v="11"/>
    <x v="1"/>
    <n v="0"/>
    <n v="0"/>
  </r>
  <r>
    <n v="40"/>
    <x v="0"/>
    <x v="5"/>
    <x v="2"/>
    <x v="0"/>
    <n v="2"/>
    <n v="3"/>
  </r>
  <r>
    <n v="41"/>
    <x v="0"/>
    <x v="4"/>
    <x v="9"/>
    <x v="0"/>
    <n v="0"/>
    <n v="0"/>
  </r>
  <r>
    <n v="42"/>
    <x v="0"/>
    <x v="0"/>
    <x v="1"/>
    <x v="1"/>
    <n v="0"/>
    <n v="0"/>
  </r>
  <r>
    <n v="43"/>
    <x v="0"/>
    <x v="6"/>
    <x v="11"/>
    <x v="1"/>
    <n v="1"/>
    <n v="1"/>
  </r>
  <r>
    <n v="44"/>
    <x v="0"/>
    <x v="8"/>
    <x v="13"/>
    <x v="0"/>
    <n v="1"/>
    <n v="2"/>
  </r>
  <r>
    <n v="45"/>
    <x v="0"/>
    <x v="1"/>
    <x v="9"/>
    <x v="1"/>
    <n v="1"/>
    <n v="1"/>
  </r>
  <r>
    <n v="46"/>
    <x v="0"/>
    <x v="9"/>
    <x v="0"/>
    <x v="1"/>
    <n v="0"/>
    <n v="0"/>
  </r>
  <r>
    <n v="47"/>
    <x v="0"/>
    <x v="8"/>
    <x v="5"/>
    <x v="1"/>
    <n v="0"/>
    <n v="0"/>
  </r>
  <r>
    <n v="48"/>
    <x v="0"/>
    <x v="7"/>
    <x v="9"/>
    <x v="1"/>
    <n v="0"/>
    <n v="0"/>
  </r>
  <r>
    <n v="49"/>
    <x v="0"/>
    <x v="9"/>
    <x v="2"/>
    <x v="1"/>
    <n v="2"/>
    <n v="2"/>
  </r>
  <r>
    <n v="50"/>
    <x v="0"/>
    <x v="1"/>
    <x v="13"/>
    <x v="1"/>
    <n v="0"/>
    <n v="0"/>
  </r>
  <r>
    <n v="51"/>
    <x v="1"/>
    <x v="3"/>
    <x v="9"/>
    <x v="0"/>
    <n v="1"/>
    <n v="1"/>
  </r>
  <r>
    <n v="52"/>
    <x v="1"/>
    <x v="7"/>
    <x v="6"/>
    <x v="0"/>
    <n v="0"/>
    <n v="0"/>
  </r>
  <r>
    <n v="53"/>
    <x v="1"/>
    <x v="8"/>
    <x v="6"/>
    <x v="1"/>
    <n v="1"/>
    <n v="1"/>
  </r>
  <r>
    <n v="54"/>
    <x v="1"/>
    <x v="0"/>
    <x v="9"/>
    <x v="0"/>
    <n v="0"/>
    <n v="0"/>
  </r>
  <r>
    <n v="55"/>
    <x v="1"/>
    <x v="4"/>
    <x v="13"/>
    <x v="0"/>
    <n v="0"/>
    <n v="2"/>
  </r>
  <r>
    <n v="56"/>
    <x v="1"/>
    <x v="5"/>
    <x v="5"/>
    <x v="0"/>
    <n v="1"/>
    <n v="1"/>
  </r>
  <r>
    <n v="57"/>
    <x v="1"/>
    <x v="5"/>
    <x v="0"/>
    <x v="1"/>
    <n v="0"/>
    <n v="1"/>
  </r>
  <r>
    <n v="58"/>
    <x v="1"/>
    <x v="6"/>
    <x v="14"/>
    <x v="0"/>
    <n v="1"/>
    <n v="1"/>
  </r>
  <r>
    <n v="59"/>
    <x v="1"/>
    <x v="1"/>
    <x v="10"/>
    <x v="1"/>
    <n v="1"/>
    <n v="1"/>
  </r>
  <r>
    <n v="60"/>
    <x v="1"/>
    <x v="7"/>
    <x v="13"/>
    <x v="0"/>
    <n v="0"/>
    <n v="0"/>
  </r>
  <r>
    <n v="61"/>
    <x v="1"/>
    <x v="1"/>
    <x v="7"/>
    <x v="1"/>
    <n v="0"/>
    <n v="0"/>
  </r>
  <r>
    <n v="62"/>
    <x v="1"/>
    <x v="1"/>
    <x v="2"/>
    <x v="0"/>
    <n v="0"/>
    <n v="0"/>
  </r>
  <r>
    <n v="63"/>
    <x v="1"/>
    <x v="6"/>
    <x v="3"/>
    <x v="1"/>
    <n v="0"/>
    <n v="0"/>
  </r>
  <r>
    <n v="64"/>
    <x v="1"/>
    <x v="6"/>
    <x v="9"/>
    <x v="0"/>
    <n v="0"/>
    <n v="1"/>
  </r>
  <r>
    <n v="65"/>
    <x v="1"/>
    <x v="9"/>
    <x v="9"/>
    <x v="1"/>
    <n v="1"/>
    <n v="2"/>
  </r>
  <r>
    <n v="66"/>
    <x v="1"/>
    <x v="5"/>
    <x v="5"/>
    <x v="0"/>
    <n v="2"/>
    <n v="2"/>
  </r>
  <r>
    <n v="67"/>
    <x v="1"/>
    <x v="0"/>
    <x v="2"/>
    <x v="0"/>
    <n v="0"/>
    <n v="0"/>
  </r>
  <r>
    <n v="68"/>
    <x v="1"/>
    <x v="1"/>
    <x v="12"/>
    <x v="1"/>
    <n v="1"/>
    <n v="1"/>
  </r>
  <r>
    <n v="69"/>
    <x v="1"/>
    <x v="7"/>
    <x v="0"/>
    <x v="1"/>
    <n v="1"/>
    <n v="1"/>
  </r>
  <r>
    <n v="70"/>
    <x v="1"/>
    <x v="0"/>
    <x v="12"/>
    <x v="1"/>
    <n v="1"/>
    <n v="1"/>
  </r>
  <r>
    <n v="71"/>
    <x v="1"/>
    <x v="1"/>
    <x v="1"/>
    <x v="1"/>
    <n v="0"/>
    <n v="0"/>
  </r>
  <r>
    <n v="72"/>
    <x v="1"/>
    <x v="5"/>
    <x v="1"/>
    <x v="1"/>
    <n v="0"/>
    <n v="0"/>
  </r>
  <r>
    <n v="73"/>
    <x v="1"/>
    <x v="4"/>
    <x v="6"/>
    <x v="1"/>
    <n v="0"/>
    <n v="0"/>
  </r>
  <r>
    <n v="74"/>
    <x v="1"/>
    <x v="5"/>
    <x v="0"/>
    <x v="1"/>
    <n v="1"/>
    <n v="1"/>
  </r>
  <r>
    <n v="75"/>
    <x v="1"/>
    <x v="0"/>
    <x v="5"/>
    <x v="0"/>
    <n v="1"/>
    <n v="1"/>
  </r>
  <r>
    <n v="76"/>
    <x v="1"/>
    <x v="0"/>
    <x v="10"/>
    <x v="0"/>
    <n v="1"/>
    <n v="1"/>
  </r>
  <r>
    <n v="77"/>
    <x v="1"/>
    <x v="6"/>
    <x v="14"/>
    <x v="1"/>
    <n v="1"/>
    <n v="1"/>
  </r>
  <r>
    <n v="78"/>
    <x v="1"/>
    <x v="4"/>
    <x v="13"/>
    <x v="0"/>
    <n v="1"/>
    <n v="1"/>
  </r>
  <r>
    <n v="79"/>
    <x v="1"/>
    <x v="5"/>
    <x v="9"/>
    <x v="1"/>
    <n v="1"/>
    <n v="1"/>
  </r>
  <r>
    <n v="80"/>
    <x v="1"/>
    <x v="3"/>
    <x v="9"/>
    <x v="0"/>
    <n v="0"/>
    <n v="0"/>
  </r>
  <r>
    <n v="81"/>
    <x v="1"/>
    <x v="5"/>
    <x v="10"/>
    <x v="0"/>
    <n v="0"/>
    <n v="0"/>
  </r>
  <r>
    <n v="82"/>
    <x v="1"/>
    <x v="7"/>
    <x v="4"/>
    <x v="1"/>
    <n v="0"/>
    <n v="0"/>
  </r>
  <r>
    <n v="83"/>
    <x v="1"/>
    <x v="2"/>
    <x v="7"/>
    <x v="0"/>
    <n v="2"/>
    <n v="2"/>
  </r>
  <r>
    <n v="84"/>
    <x v="1"/>
    <x v="2"/>
    <x v="14"/>
    <x v="0"/>
    <n v="0"/>
    <n v="1"/>
  </r>
  <r>
    <n v="85"/>
    <x v="1"/>
    <x v="8"/>
    <x v="12"/>
    <x v="0"/>
    <n v="0"/>
    <n v="0"/>
  </r>
  <r>
    <n v="86"/>
    <x v="1"/>
    <x v="9"/>
    <x v="2"/>
    <x v="1"/>
    <n v="0"/>
    <n v="0"/>
  </r>
  <r>
    <n v="87"/>
    <x v="1"/>
    <x v="8"/>
    <x v="3"/>
    <x v="1"/>
    <n v="0"/>
    <n v="0"/>
  </r>
  <r>
    <n v="88"/>
    <x v="1"/>
    <x v="7"/>
    <x v="0"/>
    <x v="0"/>
    <n v="0"/>
    <n v="0"/>
  </r>
  <r>
    <n v="89"/>
    <x v="1"/>
    <x v="9"/>
    <x v="8"/>
    <x v="0"/>
    <n v="2"/>
    <n v="3"/>
  </r>
  <r>
    <n v="90"/>
    <x v="1"/>
    <x v="5"/>
    <x v="1"/>
    <x v="1"/>
    <n v="0"/>
    <n v="0"/>
  </r>
  <r>
    <n v="91"/>
    <x v="1"/>
    <x v="2"/>
    <x v="11"/>
    <x v="1"/>
    <n v="1"/>
    <n v="1"/>
  </r>
  <r>
    <n v="92"/>
    <x v="1"/>
    <x v="4"/>
    <x v="0"/>
    <x v="0"/>
    <n v="0"/>
    <n v="0"/>
  </r>
  <r>
    <n v="93"/>
    <x v="1"/>
    <x v="4"/>
    <x v="13"/>
    <x v="1"/>
    <n v="0"/>
    <n v="0"/>
  </r>
  <r>
    <n v="94"/>
    <x v="1"/>
    <x v="2"/>
    <x v="13"/>
    <x v="1"/>
    <n v="0"/>
    <n v="1"/>
  </r>
  <r>
    <n v="95"/>
    <x v="1"/>
    <x v="0"/>
    <x v="6"/>
    <x v="0"/>
    <n v="0"/>
    <n v="2"/>
  </r>
  <r>
    <n v="96"/>
    <x v="1"/>
    <x v="3"/>
    <x v="3"/>
    <x v="0"/>
    <n v="1"/>
    <n v="1"/>
  </r>
  <r>
    <n v="97"/>
    <x v="1"/>
    <x v="1"/>
    <x v="11"/>
    <x v="1"/>
    <n v="0"/>
    <n v="0"/>
  </r>
  <r>
    <n v="98"/>
    <x v="1"/>
    <x v="6"/>
    <x v="5"/>
    <x v="1"/>
    <n v="0"/>
    <n v="1"/>
  </r>
  <r>
    <n v="99"/>
    <x v="1"/>
    <x v="2"/>
    <x v="10"/>
    <x v="1"/>
    <n v="0"/>
    <n v="0"/>
  </r>
  <r>
    <n v="100"/>
    <x v="1"/>
    <x v="2"/>
    <x v="2"/>
    <x v="1"/>
    <n v="0"/>
    <n v="0"/>
  </r>
  <r>
    <n v="101"/>
    <x v="1"/>
    <x v="8"/>
    <x v="14"/>
    <x v="1"/>
    <n v="0"/>
    <n v="0"/>
  </r>
  <r>
    <n v="102"/>
    <x v="1"/>
    <x v="0"/>
    <x v="3"/>
    <x v="1"/>
    <n v="2"/>
    <n v="2"/>
  </r>
  <r>
    <n v="103"/>
    <x v="1"/>
    <x v="8"/>
    <x v="1"/>
    <x v="1"/>
    <n v="1"/>
    <n v="3"/>
  </r>
  <r>
    <n v="104"/>
    <x v="1"/>
    <x v="5"/>
    <x v="14"/>
    <x v="0"/>
    <n v="2"/>
    <n v="0"/>
  </r>
  <r>
    <n v="105"/>
    <x v="1"/>
    <x v="0"/>
    <x v="13"/>
    <x v="0"/>
    <n v="0"/>
    <n v="0"/>
  </r>
  <r>
    <n v="106"/>
    <x v="1"/>
    <x v="3"/>
    <x v="9"/>
    <x v="0"/>
    <n v="2"/>
    <n v="2"/>
  </r>
  <r>
    <n v="107"/>
    <x v="1"/>
    <x v="7"/>
    <x v="4"/>
    <x v="1"/>
    <n v="0"/>
    <n v="1"/>
  </r>
  <r>
    <n v="108"/>
    <x v="1"/>
    <x v="2"/>
    <x v="11"/>
    <x v="1"/>
    <n v="0"/>
    <n v="0"/>
  </r>
  <r>
    <n v="109"/>
    <x v="1"/>
    <x v="8"/>
    <x v="15"/>
    <x v="1"/>
    <n v="0"/>
    <n v="0"/>
  </r>
  <r>
    <n v="110"/>
    <x v="1"/>
    <x v="0"/>
    <x v="13"/>
    <x v="1"/>
    <n v="0"/>
    <n v="0"/>
  </r>
  <r>
    <n v="111"/>
    <x v="1"/>
    <x v="9"/>
    <x v="1"/>
    <x v="1"/>
    <n v="0"/>
    <n v="0"/>
  </r>
  <r>
    <n v="112"/>
    <x v="1"/>
    <x v="3"/>
    <x v="4"/>
    <x v="1"/>
    <n v="0"/>
    <n v="0"/>
  </r>
  <r>
    <n v="113"/>
    <x v="1"/>
    <x v="1"/>
    <x v="4"/>
    <x v="1"/>
    <n v="1"/>
    <n v="0"/>
  </r>
  <r>
    <n v="114"/>
    <x v="1"/>
    <x v="0"/>
    <x v="13"/>
    <x v="0"/>
    <n v="0"/>
    <n v="0"/>
  </r>
  <r>
    <n v="115"/>
    <x v="1"/>
    <x v="3"/>
    <x v="1"/>
    <x v="0"/>
    <n v="3"/>
    <n v="5"/>
  </r>
  <r>
    <n v="116"/>
    <x v="1"/>
    <x v="1"/>
    <x v="4"/>
    <x v="0"/>
    <n v="0"/>
    <n v="0"/>
  </r>
  <r>
    <n v="117"/>
    <x v="1"/>
    <x v="1"/>
    <x v="15"/>
    <x v="0"/>
    <n v="0"/>
    <n v="0"/>
  </r>
  <r>
    <n v="118"/>
    <x v="1"/>
    <x v="7"/>
    <x v="15"/>
    <x v="1"/>
    <n v="0"/>
    <n v="0"/>
  </r>
  <r>
    <n v="119"/>
    <x v="1"/>
    <x v="4"/>
    <x v="2"/>
    <x v="0"/>
    <n v="0"/>
    <n v="0"/>
  </r>
  <r>
    <n v="120"/>
    <x v="1"/>
    <x v="8"/>
    <x v="15"/>
    <x v="1"/>
    <n v="0"/>
    <n v="0"/>
  </r>
  <r>
    <n v="121"/>
    <x v="1"/>
    <x v="6"/>
    <x v="1"/>
    <x v="0"/>
    <n v="1"/>
    <n v="2"/>
  </r>
  <r>
    <n v="122"/>
    <x v="1"/>
    <x v="8"/>
    <x v="14"/>
    <x v="1"/>
    <n v="0"/>
    <n v="0"/>
  </r>
  <r>
    <n v="123"/>
    <x v="1"/>
    <x v="1"/>
    <x v="10"/>
    <x v="0"/>
    <n v="1"/>
    <n v="1"/>
  </r>
  <r>
    <n v="124"/>
    <x v="1"/>
    <x v="4"/>
    <x v="2"/>
    <x v="1"/>
    <n v="1"/>
    <n v="1"/>
  </r>
  <r>
    <n v="125"/>
    <x v="1"/>
    <x v="9"/>
    <x v="2"/>
    <x v="0"/>
    <n v="0"/>
    <n v="0"/>
  </r>
  <r>
    <n v="126"/>
    <x v="1"/>
    <x v="9"/>
    <x v="7"/>
    <x v="0"/>
    <n v="0"/>
    <n v="0"/>
  </r>
  <r>
    <n v="127"/>
    <x v="1"/>
    <x v="4"/>
    <x v="8"/>
    <x v="1"/>
    <n v="0"/>
    <n v="0"/>
  </r>
  <r>
    <n v="128"/>
    <x v="1"/>
    <x v="1"/>
    <x v="12"/>
    <x v="0"/>
    <n v="0"/>
    <n v="0"/>
  </r>
  <r>
    <n v="129"/>
    <x v="1"/>
    <x v="3"/>
    <x v="4"/>
    <x v="0"/>
    <n v="0"/>
    <n v="0"/>
  </r>
  <r>
    <n v="130"/>
    <x v="1"/>
    <x v="5"/>
    <x v="3"/>
    <x v="1"/>
    <n v="0"/>
    <n v="0"/>
  </r>
  <r>
    <n v="131"/>
    <x v="1"/>
    <x v="5"/>
    <x v="3"/>
    <x v="0"/>
    <n v="1"/>
    <n v="0"/>
  </r>
  <r>
    <n v="132"/>
    <x v="1"/>
    <x v="8"/>
    <x v="7"/>
    <x v="0"/>
    <n v="0"/>
    <n v="1"/>
  </r>
  <r>
    <n v="133"/>
    <x v="1"/>
    <x v="1"/>
    <x v="11"/>
    <x v="0"/>
    <n v="0"/>
    <n v="0"/>
  </r>
  <r>
    <n v="134"/>
    <x v="1"/>
    <x v="4"/>
    <x v="9"/>
    <x v="0"/>
    <n v="1"/>
    <n v="2"/>
  </r>
  <r>
    <n v="135"/>
    <x v="1"/>
    <x v="2"/>
    <x v="8"/>
    <x v="0"/>
    <n v="0"/>
    <n v="0"/>
  </r>
  <r>
    <n v="136"/>
    <x v="1"/>
    <x v="3"/>
    <x v="15"/>
    <x v="0"/>
    <n v="0"/>
    <n v="0"/>
  </r>
  <r>
    <n v="137"/>
    <x v="1"/>
    <x v="0"/>
    <x v="8"/>
    <x v="1"/>
    <n v="0"/>
    <n v="0"/>
  </r>
  <r>
    <n v="138"/>
    <x v="1"/>
    <x v="7"/>
    <x v="2"/>
    <x v="1"/>
    <n v="0"/>
    <n v="0"/>
  </r>
  <r>
    <n v="139"/>
    <x v="1"/>
    <x v="9"/>
    <x v="1"/>
    <x v="0"/>
    <n v="0"/>
    <n v="0"/>
  </r>
  <r>
    <n v="140"/>
    <x v="1"/>
    <x v="4"/>
    <x v="4"/>
    <x v="0"/>
    <n v="1"/>
    <n v="0"/>
  </r>
  <r>
    <n v="141"/>
    <x v="1"/>
    <x v="1"/>
    <x v="12"/>
    <x v="1"/>
    <n v="2"/>
    <n v="2"/>
  </r>
  <r>
    <n v="142"/>
    <x v="1"/>
    <x v="5"/>
    <x v="13"/>
    <x v="1"/>
    <n v="0"/>
    <n v="0"/>
  </r>
  <r>
    <n v="143"/>
    <x v="1"/>
    <x v="3"/>
    <x v="12"/>
    <x v="0"/>
    <n v="0"/>
    <n v="0"/>
  </r>
  <r>
    <n v="144"/>
    <x v="1"/>
    <x v="9"/>
    <x v="5"/>
    <x v="0"/>
    <n v="1"/>
    <n v="1"/>
  </r>
  <r>
    <n v="145"/>
    <x v="1"/>
    <x v="6"/>
    <x v="15"/>
    <x v="0"/>
    <n v="0"/>
    <n v="0"/>
  </r>
  <r>
    <n v="146"/>
    <x v="1"/>
    <x v="1"/>
    <x v="8"/>
    <x v="0"/>
    <n v="0"/>
    <n v="0"/>
  </r>
  <r>
    <n v="147"/>
    <x v="1"/>
    <x v="5"/>
    <x v="14"/>
    <x v="0"/>
    <n v="0"/>
    <n v="2"/>
  </r>
  <r>
    <n v="148"/>
    <x v="1"/>
    <x v="4"/>
    <x v="0"/>
    <x v="1"/>
    <n v="1"/>
    <n v="1"/>
  </r>
  <r>
    <n v="149"/>
    <x v="1"/>
    <x v="9"/>
    <x v="14"/>
    <x v="0"/>
    <n v="0"/>
    <n v="1"/>
  </r>
  <r>
    <n v="150"/>
    <x v="1"/>
    <x v="7"/>
    <x v="9"/>
    <x v="0"/>
    <n v="1"/>
    <n v="1"/>
  </r>
  <r>
    <n v="151"/>
    <x v="1"/>
    <x v="0"/>
    <x v="12"/>
    <x v="1"/>
    <n v="0"/>
    <n v="0"/>
  </r>
  <r>
    <n v="152"/>
    <x v="1"/>
    <x v="5"/>
    <x v="4"/>
    <x v="0"/>
    <n v="0"/>
    <n v="0"/>
  </r>
  <r>
    <n v="153"/>
    <x v="1"/>
    <x v="7"/>
    <x v="7"/>
    <x v="0"/>
    <n v="2"/>
    <n v="2"/>
  </r>
  <r>
    <n v="154"/>
    <x v="1"/>
    <x v="8"/>
    <x v="7"/>
    <x v="0"/>
    <n v="0"/>
    <n v="0"/>
  </r>
  <r>
    <n v="155"/>
    <x v="1"/>
    <x v="5"/>
    <x v="8"/>
    <x v="0"/>
    <n v="1"/>
    <n v="1"/>
  </r>
  <r>
    <n v="156"/>
    <x v="1"/>
    <x v="4"/>
    <x v="14"/>
    <x v="0"/>
    <n v="0"/>
    <n v="0"/>
  </r>
  <r>
    <n v="157"/>
    <x v="1"/>
    <x v="7"/>
    <x v="13"/>
    <x v="1"/>
    <n v="1"/>
    <n v="0"/>
  </r>
  <r>
    <n v="158"/>
    <x v="1"/>
    <x v="8"/>
    <x v="7"/>
    <x v="1"/>
    <n v="3"/>
    <n v="3"/>
  </r>
  <r>
    <n v="159"/>
    <x v="1"/>
    <x v="5"/>
    <x v="5"/>
    <x v="1"/>
    <n v="0"/>
    <n v="0"/>
  </r>
  <r>
    <n v="160"/>
    <x v="1"/>
    <x v="4"/>
    <x v="13"/>
    <x v="1"/>
    <n v="0"/>
    <n v="0"/>
  </r>
  <r>
    <n v="161"/>
    <x v="1"/>
    <x v="1"/>
    <x v="5"/>
    <x v="1"/>
    <n v="0"/>
    <n v="0"/>
  </r>
  <r>
    <n v="162"/>
    <x v="1"/>
    <x v="4"/>
    <x v="3"/>
    <x v="1"/>
    <n v="0"/>
    <n v="0"/>
  </r>
  <r>
    <n v="163"/>
    <x v="1"/>
    <x v="5"/>
    <x v="15"/>
    <x v="0"/>
    <n v="0"/>
    <n v="0"/>
  </r>
  <r>
    <n v="164"/>
    <x v="1"/>
    <x v="0"/>
    <x v="15"/>
    <x v="0"/>
    <n v="0"/>
    <n v="0"/>
  </r>
  <r>
    <n v="165"/>
    <x v="1"/>
    <x v="0"/>
    <x v="8"/>
    <x v="1"/>
    <n v="2"/>
    <n v="4"/>
  </r>
  <r>
    <n v="166"/>
    <x v="1"/>
    <x v="0"/>
    <x v="13"/>
    <x v="0"/>
    <n v="0"/>
    <n v="0"/>
  </r>
  <r>
    <n v="167"/>
    <x v="1"/>
    <x v="7"/>
    <x v="14"/>
    <x v="1"/>
    <n v="0"/>
    <n v="0"/>
  </r>
  <r>
    <n v="168"/>
    <x v="1"/>
    <x v="1"/>
    <x v="10"/>
    <x v="1"/>
    <n v="0"/>
    <n v="0"/>
  </r>
  <r>
    <n v="169"/>
    <x v="1"/>
    <x v="7"/>
    <x v="9"/>
    <x v="1"/>
    <n v="1"/>
    <n v="1"/>
  </r>
  <r>
    <n v="170"/>
    <x v="1"/>
    <x v="3"/>
    <x v="11"/>
    <x v="0"/>
    <n v="0"/>
    <n v="0"/>
  </r>
  <r>
    <n v="171"/>
    <x v="1"/>
    <x v="9"/>
    <x v="10"/>
    <x v="0"/>
    <n v="2"/>
    <n v="3"/>
  </r>
  <r>
    <n v="172"/>
    <x v="1"/>
    <x v="6"/>
    <x v="0"/>
    <x v="0"/>
    <n v="0"/>
    <n v="0"/>
  </r>
  <r>
    <n v="173"/>
    <x v="1"/>
    <x v="7"/>
    <x v="7"/>
    <x v="1"/>
    <n v="0"/>
    <n v="0"/>
  </r>
  <r>
    <n v="174"/>
    <x v="1"/>
    <x v="6"/>
    <x v="2"/>
    <x v="0"/>
    <n v="0"/>
    <n v="0"/>
  </r>
  <r>
    <n v="175"/>
    <x v="1"/>
    <x v="7"/>
    <x v="15"/>
    <x v="0"/>
    <n v="1"/>
    <n v="0"/>
  </r>
  <r>
    <n v="176"/>
    <x v="1"/>
    <x v="8"/>
    <x v="15"/>
    <x v="0"/>
    <n v="2"/>
    <n v="3"/>
  </r>
  <r>
    <n v="177"/>
    <x v="1"/>
    <x v="3"/>
    <x v="8"/>
    <x v="1"/>
    <n v="0"/>
    <n v="0"/>
  </r>
  <r>
    <n v="178"/>
    <x v="1"/>
    <x v="2"/>
    <x v="1"/>
    <x v="0"/>
    <n v="1"/>
    <n v="2"/>
  </r>
  <r>
    <n v="179"/>
    <x v="1"/>
    <x v="3"/>
    <x v="14"/>
    <x v="1"/>
    <n v="1"/>
    <n v="2"/>
  </r>
  <r>
    <n v="180"/>
    <x v="1"/>
    <x v="4"/>
    <x v="12"/>
    <x v="0"/>
    <n v="1"/>
    <n v="0"/>
  </r>
  <r>
    <n v="181"/>
    <x v="1"/>
    <x v="7"/>
    <x v="11"/>
    <x v="1"/>
    <n v="1"/>
    <n v="1"/>
  </r>
  <r>
    <n v="182"/>
    <x v="1"/>
    <x v="0"/>
    <x v="1"/>
    <x v="0"/>
    <n v="0"/>
    <n v="3"/>
  </r>
  <r>
    <n v="183"/>
    <x v="1"/>
    <x v="4"/>
    <x v="10"/>
    <x v="1"/>
    <n v="0"/>
    <n v="0"/>
  </r>
  <r>
    <n v="184"/>
    <x v="1"/>
    <x v="8"/>
    <x v="4"/>
    <x v="0"/>
    <n v="0"/>
    <n v="2"/>
  </r>
  <r>
    <n v="185"/>
    <x v="1"/>
    <x v="2"/>
    <x v="1"/>
    <x v="1"/>
    <n v="0"/>
    <n v="0"/>
  </r>
  <r>
    <n v="186"/>
    <x v="1"/>
    <x v="4"/>
    <x v="6"/>
    <x v="1"/>
    <n v="2"/>
    <n v="0"/>
  </r>
  <r>
    <n v="187"/>
    <x v="1"/>
    <x v="5"/>
    <x v="12"/>
    <x v="0"/>
    <n v="0"/>
    <n v="0"/>
  </r>
  <r>
    <n v="188"/>
    <x v="1"/>
    <x v="9"/>
    <x v="7"/>
    <x v="1"/>
    <n v="0"/>
    <n v="0"/>
  </r>
  <r>
    <n v="189"/>
    <x v="1"/>
    <x v="4"/>
    <x v="14"/>
    <x v="0"/>
    <n v="0"/>
    <n v="0"/>
  </r>
  <r>
    <n v="190"/>
    <x v="1"/>
    <x v="3"/>
    <x v="10"/>
    <x v="1"/>
    <n v="0"/>
    <n v="1"/>
  </r>
  <r>
    <n v="191"/>
    <x v="1"/>
    <x v="3"/>
    <x v="6"/>
    <x v="0"/>
    <n v="1"/>
    <n v="1"/>
  </r>
  <r>
    <n v="192"/>
    <x v="1"/>
    <x v="1"/>
    <x v="1"/>
    <x v="0"/>
    <n v="0"/>
    <n v="0"/>
  </r>
  <r>
    <n v="193"/>
    <x v="1"/>
    <x v="4"/>
    <x v="2"/>
    <x v="1"/>
    <n v="1"/>
    <n v="4"/>
  </r>
  <r>
    <n v="194"/>
    <x v="1"/>
    <x v="7"/>
    <x v="8"/>
    <x v="0"/>
    <n v="0"/>
    <n v="0"/>
  </r>
  <r>
    <n v="195"/>
    <x v="1"/>
    <x v="9"/>
    <x v="14"/>
    <x v="1"/>
    <n v="0"/>
    <n v="3"/>
  </r>
  <r>
    <n v="196"/>
    <x v="1"/>
    <x v="2"/>
    <x v="2"/>
    <x v="0"/>
    <n v="1"/>
    <n v="0"/>
  </r>
  <r>
    <n v="197"/>
    <x v="1"/>
    <x v="7"/>
    <x v="15"/>
    <x v="0"/>
    <n v="1"/>
    <n v="3"/>
  </r>
  <r>
    <n v="198"/>
    <x v="1"/>
    <x v="0"/>
    <x v="9"/>
    <x v="1"/>
    <n v="0"/>
    <n v="0"/>
  </r>
  <r>
    <n v="199"/>
    <x v="1"/>
    <x v="3"/>
    <x v="12"/>
    <x v="1"/>
    <n v="0"/>
    <n v="0"/>
  </r>
  <r>
    <n v="200"/>
    <x v="1"/>
    <x v="0"/>
    <x v="7"/>
    <x v="0"/>
    <n v="1"/>
    <n v="0"/>
  </r>
  <r>
    <n v="201"/>
    <x v="1"/>
    <x v="5"/>
    <x v="2"/>
    <x v="0"/>
    <n v="0"/>
    <n v="0"/>
  </r>
  <r>
    <n v="202"/>
    <x v="1"/>
    <x v="7"/>
    <x v="11"/>
    <x v="0"/>
    <n v="0"/>
    <n v="0"/>
  </r>
  <r>
    <n v="203"/>
    <x v="1"/>
    <x v="7"/>
    <x v="12"/>
    <x v="1"/>
    <n v="0"/>
    <n v="0"/>
  </r>
  <r>
    <n v="204"/>
    <x v="1"/>
    <x v="6"/>
    <x v="6"/>
    <x v="0"/>
    <n v="0"/>
    <n v="0"/>
  </r>
  <r>
    <n v="205"/>
    <x v="1"/>
    <x v="7"/>
    <x v="5"/>
    <x v="1"/>
    <n v="0"/>
    <n v="1"/>
  </r>
  <r>
    <n v="206"/>
    <x v="1"/>
    <x v="1"/>
    <x v="4"/>
    <x v="1"/>
    <n v="0"/>
    <n v="0"/>
  </r>
  <r>
    <n v="207"/>
    <x v="1"/>
    <x v="2"/>
    <x v="5"/>
    <x v="1"/>
    <n v="0"/>
    <n v="0"/>
  </r>
  <r>
    <n v="208"/>
    <x v="1"/>
    <x v="4"/>
    <x v="5"/>
    <x v="0"/>
    <n v="0"/>
    <n v="0"/>
  </r>
  <r>
    <n v="209"/>
    <x v="1"/>
    <x v="2"/>
    <x v="4"/>
    <x v="1"/>
    <n v="0"/>
    <n v="0"/>
  </r>
  <r>
    <n v="210"/>
    <x v="1"/>
    <x v="3"/>
    <x v="3"/>
    <x v="1"/>
    <n v="0"/>
    <n v="0"/>
  </r>
  <r>
    <n v="211"/>
    <x v="1"/>
    <x v="5"/>
    <x v="11"/>
    <x v="0"/>
    <n v="0"/>
    <n v="0"/>
  </r>
  <r>
    <n v="212"/>
    <x v="1"/>
    <x v="0"/>
    <x v="12"/>
    <x v="0"/>
    <n v="2"/>
    <n v="4"/>
  </r>
  <r>
    <n v="213"/>
    <x v="1"/>
    <x v="6"/>
    <x v="6"/>
    <x v="0"/>
    <n v="0"/>
    <n v="0"/>
  </r>
  <r>
    <n v="214"/>
    <x v="1"/>
    <x v="8"/>
    <x v="12"/>
    <x v="0"/>
    <n v="0"/>
    <n v="0"/>
  </r>
  <r>
    <n v="215"/>
    <x v="1"/>
    <x v="2"/>
    <x v="5"/>
    <x v="0"/>
    <n v="0"/>
    <n v="0"/>
  </r>
  <r>
    <n v="216"/>
    <x v="1"/>
    <x v="5"/>
    <x v="9"/>
    <x v="1"/>
    <n v="1"/>
    <n v="2"/>
  </r>
  <r>
    <n v="217"/>
    <x v="1"/>
    <x v="8"/>
    <x v="4"/>
    <x v="1"/>
    <n v="2"/>
    <n v="2"/>
  </r>
  <r>
    <n v="218"/>
    <x v="1"/>
    <x v="7"/>
    <x v="3"/>
    <x v="1"/>
    <n v="1"/>
    <n v="0"/>
  </r>
  <r>
    <n v="219"/>
    <x v="1"/>
    <x v="4"/>
    <x v="14"/>
    <x v="1"/>
    <n v="0"/>
    <n v="0"/>
  </r>
  <r>
    <n v="220"/>
    <x v="1"/>
    <x v="4"/>
    <x v="6"/>
    <x v="0"/>
    <n v="1"/>
    <n v="0"/>
  </r>
  <r>
    <n v="221"/>
    <x v="1"/>
    <x v="7"/>
    <x v="9"/>
    <x v="0"/>
    <n v="0"/>
    <n v="0"/>
  </r>
  <r>
    <n v="222"/>
    <x v="1"/>
    <x v="0"/>
    <x v="14"/>
    <x v="1"/>
    <n v="0"/>
    <n v="0"/>
  </r>
  <r>
    <n v="223"/>
    <x v="1"/>
    <x v="4"/>
    <x v="1"/>
    <x v="1"/>
    <n v="0"/>
    <n v="0"/>
  </r>
  <r>
    <n v="224"/>
    <x v="1"/>
    <x v="2"/>
    <x v="7"/>
    <x v="1"/>
    <n v="0"/>
    <n v="2"/>
  </r>
  <r>
    <n v="225"/>
    <x v="1"/>
    <x v="5"/>
    <x v="11"/>
    <x v="0"/>
    <n v="0"/>
    <n v="0"/>
  </r>
  <r>
    <n v="226"/>
    <x v="1"/>
    <x v="8"/>
    <x v="14"/>
    <x v="0"/>
    <n v="1"/>
    <n v="0"/>
  </r>
  <r>
    <n v="227"/>
    <x v="1"/>
    <x v="9"/>
    <x v="1"/>
    <x v="1"/>
    <n v="1"/>
    <n v="3"/>
  </r>
  <r>
    <n v="228"/>
    <x v="1"/>
    <x v="7"/>
    <x v="1"/>
    <x v="0"/>
    <n v="0"/>
    <n v="0"/>
  </r>
  <r>
    <n v="229"/>
    <x v="1"/>
    <x v="1"/>
    <x v="13"/>
    <x v="1"/>
    <n v="2"/>
    <n v="2"/>
  </r>
  <r>
    <n v="230"/>
    <x v="1"/>
    <x v="6"/>
    <x v="12"/>
    <x v="1"/>
    <n v="0"/>
    <n v="0"/>
  </r>
  <r>
    <n v="231"/>
    <x v="1"/>
    <x v="2"/>
    <x v="7"/>
    <x v="1"/>
    <n v="0"/>
    <n v="0"/>
  </r>
  <r>
    <n v="232"/>
    <x v="1"/>
    <x v="6"/>
    <x v="10"/>
    <x v="0"/>
    <n v="0"/>
    <n v="0"/>
  </r>
  <r>
    <n v="233"/>
    <x v="1"/>
    <x v="9"/>
    <x v="0"/>
    <x v="1"/>
    <n v="2"/>
    <n v="2"/>
  </r>
  <r>
    <n v="234"/>
    <x v="1"/>
    <x v="5"/>
    <x v="9"/>
    <x v="0"/>
    <n v="0"/>
    <n v="0"/>
  </r>
  <r>
    <n v="235"/>
    <x v="1"/>
    <x v="0"/>
    <x v="3"/>
    <x v="0"/>
    <n v="0"/>
    <n v="0"/>
  </r>
  <r>
    <n v="236"/>
    <x v="1"/>
    <x v="1"/>
    <x v="10"/>
    <x v="0"/>
    <n v="0"/>
    <n v="0"/>
  </r>
  <r>
    <n v="237"/>
    <x v="1"/>
    <x v="1"/>
    <x v="2"/>
    <x v="0"/>
    <n v="0"/>
    <n v="0"/>
  </r>
  <r>
    <n v="238"/>
    <x v="1"/>
    <x v="2"/>
    <x v="12"/>
    <x v="0"/>
    <n v="0"/>
    <n v="0"/>
  </r>
  <r>
    <n v="239"/>
    <x v="1"/>
    <x v="9"/>
    <x v="5"/>
    <x v="1"/>
    <n v="4"/>
    <n v="2"/>
  </r>
  <r>
    <n v="240"/>
    <x v="1"/>
    <x v="5"/>
    <x v="4"/>
    <x v="1"/>
    <n v="0"/>
    <n v="0"/>
  </r>
  <r>
    <n v="241"/>
    <x v="1"/>
    <x v="8"/>
    <x v="15"/>
    <x v="0"/>
    <n v="0"/>
    <n v="0"/>
  </r>
  <r>
    <n v="242"/>
    <x v="1"/>
    <x v="1"/>
    <x v="10"/>
    <x v="1"/>
    <n v="2"/>
    <n v="2"/>
  </r>
  <r>
    <n v="243"/>
    <x v="1"/>
    <x v="0"/>
    <x v="11"/>
    <x v="1"/>
    <n v="1"/>
    <n v="1"/>
  </r>
  <r>
    <n v="244"/>
    <x v="1"/>
    <x v="1"/>
    <x v="9"/>
    <x v="0"/>
    <n v="0"/>
    <n v="0"/>
  </r>
  <r>
    <n v="245"/>
    <x v="1"/>
    <x v="8"/>
    <x v="13"/>
    <x v="0"/>
    <n v="1"/>
    <n v="1"/>
  </r>
  <r>
    <n v="246"/>
    <x v="1"/>
    <x v="5"/>
    <x v="7"/>
    <x v="0"/>
    <n v="0"/>
    <n v="0"/>
  </r>
  <r>
    <n v="247"/>
    <x v="1"/>
    <x v="8"/>
    <x v="6"/>
    <x v="0"/>
    <n v="0"/>
    <n v="0"/>
  </r>
  <r>
    <n v="248"/>
    <x v="1"/>
    <x v="5"/>
    <x v="5"/>
    <x v="1"/>
    <n v="0"/>
    <n v="0"/>
  </r>
  <r>
    <n v="249"/>
    <x v="1"/>
    <x v="7"/>
    <x v="3"/>
    <x v="0"/>
    <n v="0"/>
    <n v="0"/>
  </r>
  <r>
    <n v="250"/>
    <x v="1"/>
    <x v="3"/>
    <x v="9"/>
    <x v="0"/>
    <n v="0"/>
    <n v="0"/>
  </r>
  <r>
    <n v="251"/>
    <x v="1"/>
    <x v="8"/>
    <x v="2"/>
    <x v="0"/>
    <n v="0"/>
    <n v="0"/>
  </r>
  <r>
    <n v="252"/>
    <x v="1"/>
    <x v="4"/>
    <x v="0"/>
    <x v="0"/>
    <n v="0"/>
    <n v="0"/>
  </r>
  <r>
    <n v="253"/>
    <x v="1"/>
    <x v="1"/>
    <x v="0"/>
    <x v="1"/>
    <n v="1"/>
    <n v="2"/>
  </r>
  <r>
    <n v="254"/>
    <x v="1"/>
    <x v="9"/>
    <x v="5"/>
    <x v="0"/>
    <n v="0"/>
    <n v="0"/>
  </r>
  <r>
    <n v="255"/>
    <x v="1"/>
    <x v="1"/>
    <x v="10"/>
    <x v="0"/>
    <n v="2"/>
    <n v="2"/>
  </r>
  <r>
    <n v="256"/>
    <x v="1"/>
    <x v="6"/>
    <x v="8"/>
    <x v="0"/>
    <n v="0"/>
    <n v="0"/>
  </r>
  <r>
    <n v="257"/>
    <x v="1"/>
    <x v="4"/>
    <x v="1"/>
    <x v="0"/>
    <n v="1"/>
    <n v="2"/>
  </r>
  <r>
    <n v="258"/>
    <x v="1"/>
    <x v="0"/>
    <x v="0"/>
    <x v="0"/>
    <n v="0"/>
    <n v="1"/>
  </r>
  <r>
    <n v="259"/>
    <x v="1"/>
    <x v="0"/>
    <x v="8"/>
    <x v="1"/>
    <n v="0"/>
    <n v="0"/>
  </r>
  <r>
    <n v="260"/>
    <x v="1"/>
    <x v="8"/>
    <x v="4"/>
    <x v="0"/>
    <n v="0"/>
    <n v="0"/>
  </r>
  <r>
    <n v="261"/>
    <x v="1"/>
    <x v="2"/>
    <x v="5"/>
    <x v="0"/>
    <n v="0"/>
    <n v="0"/>
  </r>
  <r>
    <n v="262"/>
    <x v="1"/>
    <x v="7"/>
    <x v="12"/>
    <x v="1"/>
    <n v="0"/>
    <n v="0"/>
  </r>
  <r>
    <n v="263"/>
    <x v="1"/>
    <x v="6"/>
    <x v="4"/>
    <x v="1"/>
    <n v="0"/>
    <n v="0"/>
  </r>
  <r>
    <n v="264"/>
    <x v="1"/>
    <x v="5"/>
    <x v="1"/>
    <x v="0"/>
    <n v="0"/>
    <n v="1"/>
  </r>
  <r>
    <n v="265"/>
    <x v="1"/>
    <x v="5"/>
    <x v="3"/>
    <x v="1"/>
    <n v="2"/>
    <n v="1"/>
  </r>
  <r>
    <n v="266"/>
    <x v="1"/>
    <x v="9"/>
    <x v="7"/>
    <x v="0"/>
    <n v="0"/>
    <n v="0"/>
  </r>
  <r>
    <n v="267"/>
    <x v="1"/>
    <x v="8"/>
    <x v="4"/>
    <x v="0"/>
    <n v="0"/>
    <n v="0"/>
  </r>
  <r>
    <n v="268"/>
    <x v="1"/>
    <x v="0"/>
    <x v="1"/>
    <x v="1"/>
    <n v="0"/>
    <n v="0"/>
  </r>
  <r>
    <n v="269"/>
    <x v="1"/>
    <x v="6"/>
    <x v="11"/>
    <x v="1"/>
    <n v="2"/>
    <n v="4"/>
  </r>
  <r>
    <n v="270"/>
    <x v="1"/>
    <x v="1"/>
    <x v="11"/>
    <x v="1"/>
    <n v="0"/>
    <n v="0"/>
  </r>
  <r>
    <n v="271"/>
    <x v="1"/>
    <x v="9"/>
    <x v="6"/>
    <x v="0"/>
    <n v="0"/>
    <n v="0"/>
  </r>
  <r>
    <n v="272"/>
    <x v="1"/>
    <x v="3"/>
    <x v="9"/>
    <x v="0"/>
    <n v="1"/>
    <n v="0"/>
  </r>
  <r>
    <n v="273"/>
    <x v="1"/>
    <x v="0"/>
    <x v="5"/>
    <x v="1"/>
    <n v="0"/>
    <n v="0"/>
  </r>
  <r>
    <n v="274"/>
    <x v="1"/>
    <x v="1"/>
    <x v="14"/>
    <x v="1"/>
    <n v="0"/>
    <n v="2"/>
  </r>
  <r>
    <n v="275"/>
    <x v="1"/>
    <x v="7"/>
    <x v="4"/>
    <x v="0"/>
    <n v="0"/>
    <n v="0"/>
  </r>
  <r>
    <n v="276"/>
    <x v="1"/>
    <x v="3"/>
    <x v="8"/>
    <x v="1"/>
    <n v="0"/>
    <n v="0"/>
  </r>
  <r>
    <n v="277"/>
    <x v="1"/>
    <x v="8"/>
    <x v="7"/>
    <x v="1"/>
    <n v="1"/>
    <n v="3"/>
  </r>
  <r>
    <n v="278"/>
    <x v="1"/>
    <x v="6"/>
    <x v="8"/>
    <x v="0"/>
    <n v="0"/>
    <n v="0"/>
  </r>
  <r>
    <n v="279"/>
    <x v="1"/>
    <x v="8"/>
    <x v="7"/>
    <x v="1"/>
    <n v="1"/>
    <n v="1"/>
  </r>
  <r>
    <n v="280"/>
    <x v="1"/>
    <x v="3"/>
    <x v="0"/>
    <x v="1"/>
    <n v="1"/>
    <n v="0"/>
  </r>
  <r>
    <n v="281"/>
    <x v="1"/>
    <x v="0"/>
    <x v="6"/>
    <x v="0"/>
    <n v="0"/>
    <n v="0"/>
  </r>
  <r>
    <n v="282"/>
    <x v="1"/>
    <x v="1"/>
    <x v="13"/>
    <x v="0"/>
    <n v="2"/>
    <n v="2"/>
  </r>
  <r>
    <n v="283"/>
    <x v="1"/>
    <x v="8"/>
    <x v="10"/>
    <x v="0"/>
    <n v="1"/>
    <n v="1"/>
  </r>
  <r>
    <n v="284"/>
    <x v="1"/>
    <x v="8"/>
    <x v="5"/>
    <x v="1"/>
    <n v="0"/>
    <n v="0"/>
  </r>
  <r>
    <n v="285"/>
    <x v="1"/>
    <x v="1"/>
    <x v="11"/>
    <x v="1"/>
    <n v="1"/>
    <n v="1"/>
  </r>
  <r>
    <n v="286"/>
    <x v="1"/>
    <x v="0"/>
    <x v="4"/>
    <x v="0"/>
    <n v="0"/>
    <n v="0"/>
  </r>
  <r>
    <n v="287"/>
    <x v="1"/>
    <x v="5"/>
    <x v="14"/>
    <x v="0"/>
    <n v="1"/>
    <n v="1"/>
  </r>
  <r>
    <n v="288"/>
    <x v="1"/>
    <x v="7"/>
    <x v="8"/>
    <x v="0"/>
    <n v="2"/>
    <n v="2"/>
  </r>
  <r>
    <n v="289"/>
    <x v="1"/>
    <x v="7"/>
    <x v="10"/>
    <x v="1"/>
    <n v="0"/>
    <n v="0"/>
  </r>
  <r>
    <n v="290"/>
    <x v="1"/>
    <x v="1"/>
    <x v="9"/>
    <x v="1"/>
    <n v="0"/>
    <n v="0"/>
  </r>
  <r>
    <n v="291"/>
    <x v="1"/>
    <x v="3"/>
    <x v="5"/>
    <x v="1"/>
    <n v="3"/>
    <n v="3"/>
  </r>
  <r>
    <n v="292"/>
    <x v="1"/>
    <x v="5"/>
    <x v="2"/>
    <x v="1"/>
    <n v="0"/>
    <n v="0"/>
  </r>
  <r>
    <n v="293"/>
    <x v="1"/>
    <x v="9"/>
    <x v="6"/>
    <x v="1"/>
    <n v="0"/>
    <n v="0"/>
  </r>
  <r>
    <n v="294"/>
    <x v="1"/>
    <x v="1"/>
    <x v="10"/>
    <x v="1"/>
    <n v="2"/>
    <n v="2"/>
  </r>
  <r>
    <n v="295"/>
    <x v="1"/>
    <x v="5"/>
    <x v="11"/>
    <x v="0"/>
    <n v="0"/>
    <n v="0"/>
  </r>
  <r>
    <n v="296"/>
    <x v="1"/>
    <x v="9"/>
    <x v="10"/>
    <x v="1"/>
    <n v="0"/>
    <n v="0"/>
  </r>
  <r>
    <n v="297"/>
    <x v="1"/>
    <x v="9"/>
    <x v="15"/>
    <x v="0"/>
    <n v="0"/>
    <n v="0"/>
  </r>
  <r>
    <n v="298"/>
    <x v="1"/>
    <x v="0"/>
    <x v="10"/>
    <x v="0"/>
    <n v="0"/>
    <n v="0"/>
  </r>
  <r>
    <n v="299"/>
    <x v="1"/>
    <x v="4"/>
    <x v="5"/>
    <x v="1"/>
    <n v="1"/>
    <n v="1"/>
  </r>
  <r>
    <n v="300"/>
    <x v="1"/>
    <x v="8"/>
    <x v="8"/>
    <x v="0"/>
    <n v="3"/>
    <n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FBCD781-7B08-4BCE-A20E-378F0F9280D8}" name="PivotTable1" cacheId="0" applyNumberFormats="0" applyBorderFormats="0" applyFontFormats="0" applyPatternFormats="0" applyAlignmentFormats="0" applyWidthHeightFormats="1" dataCaption="Values" updatedVersion="8" minRefreshableVersion="3" useAutoFormatting="1" itemPrintTitles="1" createdVersion="8" indent="0" compact="0" compactData="0" gridDropZones="1" multipleFieldFilters="0">
  <location ref="T21:U25" firstHeaderRow="2" firstDataRow="2" firstDataCol="1"/>
  <pivotFields count="7">
    <pivotField dataField="1" compact="0" outline="0" showAll="0"/>
    <pivotField axis="axisRow" compact="0" outline="0" showAll="0">
      <items count="3">
        <item x="1"/>
        <item x="0"/>
        <item t="default"/>
      </items>
    </pivotField>
    <pivotField compact="0" outline="0" showAll="0" defaultSubtotal="0">
      <items count="10">
        <item x="3"/>
        <item x="2"/>
        <item x="7"/>
        <item x="6"/>
        <item x="1"/>
        <item x="9"/>
        <item x="5"/>
        <item x="0"/>
        <item x="4"/>
        <item x="8"/>
      </items>
    </pivotField>
    <pivotField compact="0" outline="0" showAll="0" defaultSubtotal="0">
      <items count="16">
        <item x="14"/>
        <item x="0"/>
        <item x="10"/>
        <item x="5"/>
        <item x="8"/>
        <item x="6"/>
        <item x="7"/>
        <item x="4"/>
        <item x="2"/>
        <item x="1"/>
        <item x="11"/>
        <item x="12"/>
        <item x="13"/>
        <item x="3"/>
        <item x="9"/>
        <item x="15"/>
      </items>
    </pivotField>
    <pivotField compact="0" outline="0" showAll="0">
      <items count="3">
        <item x="0"/>
        <item x="1"/>
        <item t="default"/>
      </items>
    </pivotField>
    <pivotField compact="0" outline="0" showAll="0"/>
    <pivotField compact="0" outline="0" showAll="0"/>
  </pivotFields>
  <rowFields count="1">
    <field x="1"/>
  </rowFields>
  <rowItems count="3">
    <i>
      <x/>
    </i>
    <i>
      <x v="1"/>
    </i>
    <i t="grand">
      <x/>
    </i>
  </rowItems>
  <colItems count="1">
    <i/>
  </colItems>
  <dataFields count="1">
    <dataField name="Count of Member ID" fld="0" subtotal="count"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soa.org/49178e/globalassets/assets/files/edu/2023/fall/solutions/ghrm-fall-2023-solutions.pdf" TargetMode="External"/><Relationship Id="rId1" Type="http://schemas.openxmlformats.org/officeDocument/2006/relationships/hyperlink" Target="https://www.soa.org/4ac521/globalassets/assets/files/edu/2023/fall/exams/fall-2023-ghrm-exam.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ivotTable" Target="../pivotTables/pivotTable1.xml"/></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DFF2-07C7-4814-8CB5-3F96FDBA3577}">
  <sheetPr>
    <tabColor rgb="FF0070C0"/>
    <pageSetUpPr autoPageBreaks="0"/>
  </sheetPr>
  <dimension ref="A6:K21"/>
  <sheetViews>
    <sheetView showGridLines="0" tabSelected="1" zoomScale="115" zoomScaleNormal="115" workbookViewId="0"/>
  </sheetViews>
  <sheetFormatPr defaultRowHeight="14.4" x14ac:dyDescent="0.3"/>
  <sheetData>
    <row r="6" spans="1:10" ht="33.6" x14ac:dyDescent="0.65">
      <c r="A6" s="203" t="s">
        <v>1038</v>
      </c>
      <c r="B6" s="203"/>
      <c r="C6" s="203"/>
      <c r="D6" s="203"/>
      <c r="E6" s="203"/>
      <c r="F6" s="203"/>
      <c r="G6" s="203"/>
      <c r="H6" s="203"/>
      <c r="I6" s="203"/>
      <c r="J6" s="203"/>
    </row>
    <row r="7" spans="1:10" ht="6" customHeight="1" x14ac:dyDescent="0.3">
      <c r="A7" s="204"/>
      <c r="B7" s="204"/>
      <c r="C7" s="204"/>
      <c r="D7" s="204"/>
      <c r="E7" s="204"/>
      <c r="F7" s="204"/>
      <c r="G7" s="204"/>
      <c r="H7" s="204"/>
      <c r="I7" s="204"/>
      <c r="J7" s="204"/>
    </row>
    <row r="8" spans="1:10" ht="21" x14ac:dyDescent="0.4">
      <c r="A8" s="205" t="s">
        <v>1048</v>
      </c>
      <c r="B8" s="205"/>
      <c r="C8" s="205"/>
      <c r="D8" s="205"/>
      <c r="E8" s="205"/>
      <c r="F8" s="205"/>
      <c r="G8" s="205"/>
      <c r="H8" s="205"/>
      <c r="I8" s="205"/>
      <c r="J8" s="205"/>
    </row>
    <row r="10" spans="1:10" ht="75" customHeight="1" x14ac:dyDescent="0.3">
      <c r="A10" s="206" t="s">
        <v>1039</v>
      </c>
      <c r="B10" s="207" t="s">
        <v>1040</v>
      </c>
      <c r="C10" s="207"/>
      <c r="D10" s="207"/>
      <c r="E10" s="207"/>
      <c r="F10" s="207"/>
      <c r="G10" s="207"/>
      <c r="H10" s="207"/>
      <c r="I10" s="207"/>
      <c r="J10" s="207"/>
    </row>
    <row r="11" spans="1:10" x14ac:dyDescent="0.3">
      <c r="B11" s="208"/>
      <c r="C11" s="208"/>
      <c r="D11" s="208"/>
      <c r="E11" s="208"/>
      <c r="F11" s="208"/>
      <c r="G11" s="208"/>
      <c r="H11" s="208"/>
      <c r="I11" s="208"/>
      <c r="J11" s="208"/>
    </row>
    <row r="12" spans="1:10" ht="45" customHeight="1" x14ac:dyDescent="0.3">
      <c r="A12" s="206" t="s">
        <v>1039</v>
      </c>
      <c r="B12" s="207" t="s">
        <v>1041</v>
      </c>
      <c r="C12" s="207"/>
      <c r="D12" s="207"/>
      <c r="E12" s="207"/>
      <c r="F12" s="207"/>
      <c r="G12" s="207"/>
      <c r="H12" s="207"/>
      <c r="I12" s="207"/>
      <c r="J12" s="207"/>
    </row>
    <row r="13" spans="1:10" x14ac:dyDescent="0.3">
      <c r="B13" s="208"/>
      <c r="C13" s="208"/>
      <c r="D13" s="208"/>
      <c r="E13" s="208"/>
      <c r="F13" s="208"/>
      <c r="G13" s="208"/>
      <c r="H13" s="208"/>
      <c r="I13" s="208"/>
      <c r="J13" s="208"/>
    </row>
    <row r="14" spans="1:10" ht="45.6" customHeight="1" x14ac:dyDescent="0.3">
      <c r="A14" s="206" t="s">
        <v>1039</v>
      </c>
      <c r="B14" s="207" t="s">
        <v>1042</v>
      </c>
      <c r="C14" s="207"/>
      <c r="D14" s="207"/>
      <c r="E14" s="207"/>
      <c r="F14" s="207"/>
      <c r="G14" s="207"/>
      <c r="H14" s="207"/>
      <c r="I14" s="207"/>
      <c r="J14" s="207"/>
    </row>
    <row r="15" spans="1:10" x14ac:dyDescent="0.3">
      <c r="B15" s="208"/>
      <c r="C15" s="208"/>
      <c r="D15" s="208"/>
      <c r="E15" s="208"/>
      <c r="F15" s="208"/>
      <c r="G15" s="208"/>
      <c r="H15" s="208"/>
      <c r="I15" s="208"/>
      <c r="J15" s="208"/>
    </row>
    <row r="16" spans="1:10" ht="72.599999999999994" customHeight="1" x14ac:dyDescent="0.3">
      <c r="A16" s="206" t="s">
        <v>1039</v>
      </c>
      <c r="B16" s="207" t="s">
        <v>1043</v>
      </c>
      <c r="C16" s="207"/>
      <c r="D16" s="207"/>
      <c r="E16" s="207"/>
      <c r="F16" s="207"/>
      <c r="G16" s="207"/>
      <c r="H16" s="207"/>
      <c r="I16" s="207"/>
      <c r="J16" s="207"/>
    </row>
    <row r="17" spans="1:11" x14ac:dyDescent="0.3">
      <c r="B17" s="208"/>
      <c r="C17" s="208"/>
      <c r="D17" s="208"/>
      <c r="E17" s="208"/>
      <c r="F17" s="208"/>
      <c r="G17" s="208"/>
      <c r="H17" s="208"/>
      <c r="I17" s="208"/>
      <c r="J17" s="208"/>
      <c r="K17" s="133"/>
    </row>
    <row r="18" spans="1:11" ht="44.4" customHeight="1" x14ac:dyDescent="0.3">
      <c r="A18" s="206" t="s">
        <v>1039</v>
      </c>
      <c r="B18" s="207" t="s">
        <v>1044</v>
      </c>
      <c r="C18" s="207"/>
      <c r="D18" s="207"/>
      <c r="E18" s="207"/>
      <c r="F18" s="207"/>
      <c r="G18" s="207"/>
      <c r="H18" s="207"/>
      <c r="I18" s="207"/>
      <c r="J18" s="207"/>
    </row>
    <row r="21" spans="1:11" x14ac:dyDescent="0.3">
      <c r="B21" s="209" t="s">
        <v>1045</v>
      </c>
      <c r="C21" s="209"/>
      <c r="D21" s="210" t="s">
        <v>1046</v>
      </c>
      <c r="E21" s="210"/>
      <c r="F21" s="210"/>
      <c r="G21" s="210"/>
      <c r="H21" s="211" t="s">
        <v>1047</v>
      </c>
      <c r="I21" s="211"/>
      <c r="J21" s="211"/>
    </row>
  </sheetData>
  <mergeCells count="10">
    <mergeCell ref="B18:J18"/>
    <mergeCell ref="B21:C21"/>
    <mergeCell ref="D21:G21"/>
    <mergeCell ref="H21:J21"/>
    <mergeCell ref="A6:J6"/>
    <mergeCell ref="A8:J8"/>
    <mergeCell ref="B10:J10"/>
    <mergeCell ref="B12:J12"/>
    <mergeCell ref="B14:J14"/>
    <mergeCell ref="B16:J16"/>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13A63-475F-498F-89DC-2B16551D9D5A}">
  <sheetPr>
    <tabColor theme="9" tint="0.59999389629810485"/>
  </sheetPr>
  <dimension ref="A1:P53"/>
  <sheetViews>
    <sheetView workbookViewId="0">
      <selection activeCell="A3" sqref="A3"/>
    </sheetView>
  </sheetViews>
  <sheetFormatPr defaultRowHeight="14.4" x14ac:dyDescent="0.3"/>
  <cols>
    <col min="3" max="3" width="8" customWidth="1"/>
    <col min="4" max="4" width="7.109375" customWidth="1"/>
    <col min="5" max="5" width="18.6640625" customWidth="1"/>
    <col min="6" max="6" width="12.6640625" customWidth="1"/>
    <col min="7" max="7" width="15.44140625" customWidth="1"/>
    <col min="8" max="8" width="9.6640625" bestFit="1" customWidth="1"/>
    <col min="10" max="10" width="12.88671875" customWidth="1"/>
    <col min="12" max="12" width="11.5546875" bestFit="1" customWidth="1"/>
    <col min="13" max="13" width="12.33203125" customWidth="1"/>
  </cols>
  <sheetData>
    <row r="1" spans="1:7" ht="15" thickBot="1" x14ac:dyDescent="0.35">
      <c r="A1" t="s">
        <v>115</v>
      </c>
    </row>
    <row r="2" spans="1:7" ht="15" thickBot="1" x14ac:dyDescent="0.35">
      <c r="F2" s="25" t="s">
        <v>40</v>
      </c>
      <c r="G2" s="24"/>
    </row>
    <row r="3" spans="1:7" x14ac:dyDescent="0.3">
      <c r="F3" s="23" t="s">
        <v>39</v>
      </c>
      <c r="G3" s="23"/>
    </row>
    <row r="4" spans="1:7" ht="15" thickBot="1" x14ac:dyDescent="0.35">
      <c r="F4" s="22" t="s">
        <v>38</v>
      </c>
      <c r="G4" s="22"/>
    </row>
    <row r="5" spans="1:7" ht="15.6" thickTop="1" thickBot="1" x14ac:dyDescent="0.35">
      <c r="F5" s="21" t="s">
        <v>37</v>
      </c>
      <c r="G5" s="21"/>
    </row>
    <row r="6" spans="1:7" ht="15" thickTop="1" x14ac:dyDescent="0.3">
      <c r="F6" s="19" t="s">
        <v>36</v>
      </c>
      <c r="G6" s="19"/>
    </row>
    <row r="7" spans="1:7" ht="15" thickBot="1" x14ac:dyDescent="0.35"/>
    <row r="8" spans="1:7" ht="15" thickBot="1" x14ac:dyDescent="0.35">
      <c r="C8" s="182" t="s">
        <v>16</v>
      </c>
      <c r="D8" s="183"/>
      <c r="E8" s="183"/>
      <c r="F8" s="184"/>
    </row>
    <row r="9" spans="1:7" s="8" customFormat="1" x14ac:dyDescent="0.3"/>
    <row r="10" spans="1:7" s="8" customFormat="1" x14ac:dyDescent="0.3">
      <c r="C10" s="32"/>
      <c r="D10" s="8" t="s">
        <v>114</v>
      </c>
    </row>
    <row r="11" spans="1:7" s="8" customFormat="1" x14ac:dyDescent="0.3">
      <c r="C11" s="32">
        <v>5000</v>
      </c>
      <c r="D11" s="8" t="s">
        <v>113</v>
      </c>
    </row>
    <row r="12" spans="1:7" s="8" customFormat="1" x14ac:dyDescent="0.3">
      <c r="C12" s="34">
        <v>2</v>
      </c>
      <c r="D12" s="8" t="s">
        <v>112</v>
      </c>
    </row>
    <row r="13" spans="1:7" s="8" customFormat="1" x14ac:dyDescent="0.3">
      <c r="C13" s="36">
        <v>0.65</v>
      </c>
      <c r="D13" s="8" t="s">
        <v>111</v>
      </c>
    </row>
    <row r="14" spans="1:7" s="8" customFormat="1" x14ac:dyDescent="0.3">
      <c r="C14" s="32"/>
      <c r="D14" s="8" t="s">
        <v>110</v>
      </c>
    </row>
    <row r="15" spans="1:7" s="8" customFormat="1" x14ac:dyDescent="0.3"/>
    <row r="16" spans="1:7" s="8" customFormat="1" x14ac:dyDescent="0.3"/>
    <row r="17" spans="1:16" s="8" customFormat="1" x14ac:dyDescent="0.3"/>
    <row r="18" spans="1:16" s="8" customFormat="1" ht="15" thickBot="1" x14ac:dyDescent="0.35"/>
    <row r="19" spans="1:16" ht="15" thickBot="1" x14ac:dyDescent="0.35">
      <c r="C19" s="182" t="s">
        <v>10</v>
      </c>
      <c r="D19" s="183"/>
      <c r="E19" s="183"/>
      <c r="F19" s="183"/>
      <c r="G19" s="183"/>
      <c r="H19" s="183"/>
      <c r="I19" s="183"/>
      <c r="J19" s="184"/>
      <c r="L19" s="182" t="s">
        <v>9</v>
      </c>
      <c r="M19" s="183"/>
      <c r="N19" s="183"/>
      <c r="O19" s="183"/>
      <c r="P19" s="184"/>
    </row>
    <row r="20" spans="1:16" x14ac:dyDescent="0.3">
      <c r="A20" t="s">
        <v>53</v>
      </c>
      <c r="C20" s="33"/>
      <c r="D20" s="33"/>
      <c r="E20" s="33"/>
      <c r="F20" s="33"/>
      <c r="G20" s="33"/>
      <c r="H20" s="33"/>
      <c r="I20" s="33"/>
    </row>
    <row r="21" spans="1:16" x14ac:dyDescent="0.3">
      <c r="L21" t="s">
        <v>401</v>
      </c>
    </row>
    <row r="22" spans="1:16" x14ac:dyDescent="0.3">
      <c r="L22" s="19">
        <f>C12*C11*12</f>
        <v>120000</v>
      </c>
    </row>
    <row r="23" spans="1:16" x14ac:dyDescent="0.3">
      <c r="L23" s="5"/>
    </row>
    <row r="24" spans="1:16" x14ac:dyDescent="0.3">
      <c r="L24" t="s">
        <v>400</v>
      </c>
    </row>
    <row r="25" spans="1:16" x14ac:dyDescent="0.3">
      <c r="C25" s="35" t="s">
        <v>109</v>
      </c>
      <c r="D25" s="35" t="s">
        <v>108</v>
      </c>
      <c r="E25" s="6" t="s">
        <v>107</v>
      </c>
      <c r="F25" s="35" t="s">
        <v>106</v>
      </c>
      <c r="G25" s="6" t="s">
        <v>105</v>
      </c>
      <c r="H25" s="35" t="s">
        <v>104</v>
      </c>
      <c r="I25" s="35" t="s">
        <v>103</v>
      </c>
      <c r="J25" s="35" t="s">
        <v>102</v>
      </c>
      <c r="L25" s="35" t="s">
        <v>399</v>
      </c>
    </row>
    <row r="26" spans="1:16" x14ac:dyDescent="0.3">
      <c r="C26" s="32">
        <v>1</v>
      </c>
      <c r="D26" s="32">
        <v>795</v>
      </c>
      <c r="E26" t="s">
        <v>100</v>
      </c>
      <c r="F26" s="32">
        <v>0.157</v>
      </c>
      <c r="G26" t="s">
        <v>94</v>
      </c>
      <c r="H26" s="32">
        <v>2</v>
      </c>
      <c r="I26" s="32">
        <v>1</v>
      </c>
      <c r="J26" s="34">
        <v>5000</v>
      </c>
      <c r="L26" s="34">
        <f t="shared" ref="L26:L34" si="0">J26*$C$13</f>
        <v>3250</v>
      </c>
    </row>
    <row r="27" spans="1:16" x14ac:dyDescent="0.3">
      <c r="C27" s="32">
        <v>1</v>
      </c>
      <c r="D27" s="32">
        <v>795</v>
      </c>
      <c r="E27" t="s">
        <v>100</v>
      </c>
      <c r="F27" s="32">
        <v>0.157</v>
      </c>
      <c r="G27" t="s">
        <v>101</v>
      </c>
      <c r="H27" s="32">
        <v>2</v>
      </c>
      <c r="I27" s="32">
        <v>3</v>
      </c>
      <c r="J27" s="34">
        <v>200</v>
      </c>
      <c r="L27" s="34">
        <f t="shared" si="0"/>
        <v>130</v>
      </c>
    </row>
    <row r="28" spans="1:16" x14ac:dyDescent="0.3">
      <c r="C28" s="32">
        <v>1</v>
      </c>
      <c r="D28" s="32">
        <v>795</v>
      </c>
      <c r="E28" t="s">
        <v>100</v>
      </c>
      <c r="F28" s="32">
        <v>0.157</v>
      </c>
      <c r="G28" t="s">
        <v>97</v>
      </c>
      <c r="H28" s="32">
        <v>2</v>
      </c>
      <c r="I28" s="32">
        <v>60</v>
      </c>
      <c r="J28" s="34">
        <v>1500</v>
      </c>
      <c r="L28" s="34">
        <f t="shared" si="0"/>
        <v>975</v>
      </c>
    </row>
    <row r="29" spans="1:16" x14ac:dyDescent="0.3">
      <c r="C29" s="32">
        <v>2</v>
      </c>
      <c r="D29" s="32">
        <v>787</v>
      </c>
      <c r="E29" t="s">
        <v>99</v>
      </c>
      <c r="F29" s="32">
        <v>1.0529999999999999</v>
      </c>
      <c r="G29" t="s">
        <v>94</v>
      </c>
      <c r="H29" s="32">
        <v>4</v>
      </c>
      <c r="I29" s="32">
        <v>1</v>
      </c>
      <c r="J29" s="34">
        <v>6000</v>
      </c>
      <c r="L29" s="34">
        <f t="shared" si="0"/>
        <v>3900</v>
      </c>
    </row>
    <row r="30" spans="1:16" x14ac:dyDescent="0.3">
      <c r="C30" s="32">
        <v>2</v>
      </c>
      <c r="D30" s="32">
        <v>787</v>
      </c>
      <c r="E30" t="s">
        <v>99</v>
      </c>
      <c r="F30" s="32">
        <v>1.0529999999999999</v>
      </c>
      <c r="G30" t="s">
        <v>97</v>
      </c>
      <c r="H30" s="32">
        <v>4</v>
      </c>
      <c r="I30" s="32">
        <v>300</v>
      </c>
      <c r="J30" s="34">
        <v>3000</v>
      </c>
      <c r="L30" s="34">
        <f t="shared" si="0"/>
        <v>1950</v>
      </c>
    </row>
    <row r="31" spans="1:16" x14ac:dyDescent="0.3">
      <c r="C31" s="32">
        <v>3</v>
      </c>
      <c r="D31" s="32">
        <v>794</v>
      </c>
      <c r="E31" t="s">
        <v>95</v>
      </c>
      <c r="F31" s="32">
        <v>1.1639999999999999</v>
      </c>
      <c r="G31" t="s">
        <v>98</v>
      </c>
      <c r="H31" s="32">
        <v>11</v>
      </c>
      <c r="I31" s="32">
        <v>4</v>
      </c>
      <c r="J31" s="34">
        <v>1000</v>
      </c>
      <c r="L31" s="34">
        <f t="shared" si="0"/>
        <v>650</v>
      </c>
    </row>
    <row r="32" spans="1:16" x14ac:dyDescent="0.3">
      <c r="C32" s="32">
        <v>3</v>
      </c>
      <c r="D32" s="32">
        <v>794</v>
      </c>
      <c r="E32" t="s">
        <v>95</v>
      </c>
      <c r="F32" s="32">
        <v>1.1639999999999999</v>
      </c>
      <c r="G32" t="s">
        <v>97</v>
      </c>
      <c r="H32" s="32">
        <v>11</v>
      </c>
      <c r="I32" s="32">
        <v>350</v>
      </c>
      <c r="J32" s="34">
        <v>7000</v>
      </c>
      <c r="L32" s="34">
        <f t="shared" si="0"/>
        <v>4550</v>
      </c>
    </row>
    <row r="33" spans="1:13" x14ac:dyDescent="0.3">
      <c r="C33" s="32">
        <v>3</v>
      </c>
      <c r="D33" s="32">
        <v>794</v>
      </c>
      <c r="E33" t="s">
        <v>95</v>
      </c>
      <c r="F33" s="32">
        <v>1.1639999999999999</v>
      </c>
      <c r="G33" t="s">
        <v>96</v>
      </c>
      <c r="H33" s="32">
        <v>11</v>
      </c>
      <c r="I33" s="32">
        <v>8</v>
      </c>
      <c r="J33" s="34">
        <v>800</v>
      </c>
      <c r="L33" s="34">
        <f t="shared" si="0"/>
        <v>520</v>
      </c>
    </row>
    <row r="34" spans="1:13" x14ac:dyDescent="0.3">
      <c r="C34" s="32">
        <v>3</v>
      </c>
      <c r="D34" s="32">
        <v>794</v>
      </c>
      <c r="E34" t="s">
        <v>95</v>
      </c>
      <c r="F34" s="32">
        <v>1.1639999999999999</v>
      </c>
      <c r="G34" t="s">
        <v>94</v>
      </c>
      <c r="H34" s="32">
        <v>11</v>
      </c>
      <c r="I34" s="32">
        <v>1</v>
      </c>
      <c r="J34" s="34">
        <v>5000</v>
      </c>
      <c r="L34" s="83">
        <f t="shared" si="0"/>
        <v>3250</v>
      </c>
    </row>
    <row r="35" spans="1:13" x14ac:dyDescent="0.3">
      <c r="L35" s="19">
        <f>SUM(L26:L34)</f>
        <v>19175</v>
      </c>
    </row>
    <row r="37" spans="1:13" x14ac:dyDescent="0.3">
      <c r="L37" t="s">
        <v>398</v>
      </c>
    </row>
    <row r="39" spans="1:13" x14ac:dyDescent="0.3">
      <c r="L39" s="19">
        <f>SUM(I26,I29,I34)*4500</f>
        <v>13500</v>
      </c>
    </row>
    <row r="41" spans="1:13" s="6" customFormat="1" x14ac:dyDescent="0.3">
      <c r="A41" s="6" t="s">
        <v>93</v>
      </c>
    </row>
    <row r="42" spans="1:13" x14ac:dyDescent="0.3">
      <c r="L42" t="s">
        <v>397</v>
      </c>
    </row>
    <row r="43" spans="1:13" x14ac:dyDescent="0.3">
      <c r="L43" s="27">
        <v>20000</v>
      </c>
    </row>
    <row r="45" spans="1:13" x14ac:dyDescent="0.3">
      <c r="L45" s="35" t="s">
        <v>108</v>
      </c>
      <c r="M45" s="35" t="s">
        <v>106</v>
      </c>
    </row>
    <row r="46" spans="1:13" x14ac:dyDescent="0.3">
      <c r="L46" s="32">
        <f>D26</f>
        <v>795</v>
      </c>
      <c r="M46" s="32">
        <f>F26</f>
        <v>0.157</v>
      </c>
    </row>
    <row r="47" spans="1:13" x14ac:dyDescent="0.3">
      <c r="L47" s="32">
        <f>D29</f>
        <v>787</v>
      </c>
      <c r="M47" s="32">
        <f>F29</f>
        <v>1.0529999999999999</v>
      </c>
    </row>
    <row r="48" spans="1:13" x14ac:dyDescent="0.3">
      <c r="L48" s="35">
        <f>D34</f>
        <v>794</v>
      </c>
      <c r="M48" s="35">
        <f>F34</f>
        <v>1.1639999999999999</v>
      </c>
    </row>
    <row r="49" spans="12:13" x14ac:dyDescent="0.3">
      <c r="M49" s="32">
        <f>SUM(M46:M48)</f>
        <v>2.3739999999999997</v>
      </c>
    </row>
    <row r="53" spans="12:13" x14ac:dyDescent="0.3">
      <c r="L53" s="19">
        <f>L43/M49</f>
        <v>8424.5998315080051</v>
      </c>
      <c r="M53" t="s">
        <v>396</v>
      </c>
    </row>
  </sheetData>
  <mergeCells count="3">
    <mergeCell ref="C8:F8"/>
    <mergeCell ref="C19:J19"/>
    <mergeCell ref="L19:P19"/>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57566-B28F-485D-81CD-4799978E8273}">
  <sheetPr>
    <tabColor theme="5" tint="0.39997558519241921"/>
  </sheetPr>
  <dimension ref="A1:N54"/>
  <sheetViews>
    <sheetView workbookViewId="0">
      <selection activeCell="K41" sqref="K41"/>
    </sheetView>
  </sheetViews>
  <sheetFormatPr defaultRowHeight="14.4" x14ac:dyDescent="0.3"/>
  <cols>
    <col min="3" max="3" width="20.5546875" customWidth="1"/>
    <col min="4" max="4" width="13" customWidth="1"/>
    <col min="5" max="5" width="14.5546875" bestFit="1" customWidth="1"/>
    <col min="6" max="7" width="12.21875" customWidth="1"/>
    <col min="9" max="9" width="9.6640625" bestFit="1" customWidth="1"/>
    <col min="15" max="15" width="19" bestFit="1" customWidth="1"/>
  </cols>
  <sheetData>
    <row r="1" spans="1:14" ht="15" thickBot="1" x14ac:dyDescent="0.35">
      <c r="A1" t="s">
        <v>124</v>
      </c>
    </row>
    <row r="2" spans="1:14" ht="15" thickBot="1" x14ac:dyDescent="0.35">
      <c r="F2" s="25" t="s">
        <v>40</v>
      </c>
      <c r="G2" s="24"/>
    </row>
    <row r="3" spans="1:14" x14ac:dyDescent="0.3">
      <c r="F3" s="23" t="s">
        <v>39</v>
      </c>
      <c r="G3" s="23"/>
      <c r="H3" s="46"/>
    </row>
    <row r="4" spans="1:14" ht="15" thickBot="1" x14ac:dyDescent="0.35">
      <c r="F4" s="22" t="s">
        <v>38</v>
      </c>
      <c r="G4" s="22"/>
      <c r="H4" s="22"/>
    </row>
    <row r="5" spans="1:14" ht="15.6" thickTop="1" thickBot="1" x14ac:dyDescent="0.35">
      <c r="F5" s="21" t="s">
        <v>37</v>
      </c>
      <c r="G5" s="21"/>
      <c r="H5" s="21"/>
    </row>
    <row r="6" spans="1:14" ht="15" thickTop="1" x14ac:dyDescent="0.3">
      <c r="F6" s="20" t="s">
        <v>36</v>
      </c>
      <c r="G6" s="19"/>
      <c r="H6" s="45"/>
    </row>
    <row r="7" spans="1:14" ht="15" thickBot="1" x14ac:dyDescent="0.35"/>
    <row r="8" spans="1:14" ht="15" thickBot="1" x14ac:dyDescent="0.35">
      <c r="C8" s="182" t="s">
        <v>16</v>
      </c>
      <c r="D8" s="184"/>
    </row>
    <row r="9" spans="1:14" s="8" customFormat="1" x14ac:dyDescent="0.3"/>
    <row r="10" spans="1:14" s="8" customFormat="1" x14ac:dyDescent="0.3"/>
    <row r="11" spans="1:14" s="8" customFormat="1" x14ac:dyDescent="0.3"/>
    <row r="12" spans="1:14" s="8" customFormat="1" x14ac:dyDescent="0.3"/>
    <row r="13" spans="1:14" s="8" customFormat="1" x14ac:dyDescent="0.3">
      <c r="C13" s="3">
        <v>0.1</v>
      </c>
      <c r="D13" t="s">
        <v>123</v>
      </c>
    </row>
    <row r="14" spans="1:14" s="8" customFormat="1" ht="15" thickBot="1" x14ac:dyDescent="0.35"/>
    <row r="15" spans="1:14" ht="15" thickBot="1" x14ac:dyDescent="0.35">
      <c r="C15" s="182" t="s">
        <v>10</v>
      </c>
      <c r="D15" s="183"/>
      <c r="E15" s="183"/>
      <c r="F15" s="183"/>
      <c r="G15" s="184"/>
      <c r="J15" s="182" t="s">
        <v>9</v>
      </c>
      <c r="K15" s="183"/>
      <c r="L15" s="183"/>
      <c r="M15" s="183"/>
      <c r="N15" s="184"/>
    </row>
    <row r="16" spans="1:14" s="6" customFormat="1" x14ac:dyDescent="0.3">
      <c r="A16" s="6" t="s">
        <v>93</v>
      </c>
      <c r="C16" s="44"/>
      <c r="D16" s="44"/>
      <c r="E16" s="44"/>
      <c r="F16" s="44"/>
      <c r="G16" s="44"/>
      <c r="H16" s="44"/>
      <c r="I16" s="44"/>
    </row>
    <row r="18" spans="1:8" ht="31.2" x14ac:dyDescent="0.3">
      <c r="C18" s="42"/>
      <c r="D18" s="40" t="s">
        <v>122</v>
      </c>
      <c r="E18" s="40" t="s">
        <v>121</v>
      </c>
      <c r="F18" s="40" t="s">
        <v>120</v>
      </c>
      <c r="G18" s="41" t="s">
        <v>119</v>
      </c>
      <c r="H18" s="43"/>
    </row>
    <row r="19" spans="1:8" ht="15.6" x14ac:dyDescent="0.3">
      <c r="C19" s="187" t="s">
        <v>118</v>
      </c>
      <c r="D19" s="38">
        <v>350</v>
      </c>
      <c r="E19" s="38">
        <v>340</v>
      </c>
      <c r="F19" s="38">
        <v>355</v>
      </c>
      <c r="G19" s="38">
        <v>286</v>
      </c>
      <c r="H19" s="37"/>
    </row>
    <row r="20" spans="1:8" ht="15.6" x14ac:dyDescent="0.3">
      <c r="C20" s="187"/>
      <c r="D20" s="38">
        <v>300</v>
      </c>
      <c r="E20" s="38">
        <v>338</v>
      </c>
      <c r="F20" s="38">
        <v>400</v>
      </c>
      <c r="G20" s="38">
        <v>335</v>
      </c>
      <c r="H20" s="37"/>
    </row>
    <row r="21" spans="1:8" ht="15.6" x14ac:dyDescent="0.3">
      <c r="C21" s="187"/>
      <c r="D21" s="38">
        <v>305</v>
      </c>
      <c r="E21" s="38">
        <v>280</v>
      </c>
      <c r="F21" s="38">
        <v>385</v>
      </c>
      <c r="G21" s="38">
        <v>372</v>
      </c>
      <c r="H21" s="37"/>
    </row>
    <row r="22" spans="1:8" ht="15.6" x14ac:dyDescent="0.3">
      <c r="C22" s="187"/>
      <c r="D22" s="38">
        <v>373</v>
      </c>
      <c r="E22" s="38">
        <v>298</v>
      </c>
      <c r="F22" s="38">
        <v>374</v>
      </c>
      <c r="G22" s="38">
        <v>334</v>
      </c>
      <c r="H22" s="37"/>
    </row>
    <row r="23" spans="1:8" ht="15.6" x14ac:dyDescent="0.3">
      <c r="C23" s="187"/>
      <c r="D23" s="38">
        <v>261</v>
      </c>
      <c r="E23" s="38">
        <v>322</v>
      </c>
      <c r="F23" s="38">
        <v>348</v>
      </c>
      <c r="G23" s="38">
        <v>382</v>
      </c>
      <c r="H23" s="37"/>
    </row>
    <row r="24" spans="1:8" ht="15.6" x14ac:dyDescent="0.3">
      <c r="C24" s="187"/>
      <c r="D24" s="42"/>
      <c r="E24" s="38">
        <v>316</v>
      </c>
      <c r="F24" s="42"/>
      <c r="G24" s="38">
        <v>334</v>
      </c>
      <c r="H24" s="37"/>
    </row>
    <row r="25" spans="1:8" ht="15.6" x14ac:dyDescent="0.3">
      <c r="C25" s="187"/>
      <c r="D25" s="39"/>
      <c r="E25" s="40"/>
      <c r="F25" s="39"/>
      <c r="G25" s="38">
        <v>366</v>
      </c>
      <c r="H25" s="37"/>
    </row>
    <row r="27" spans="1:8" s="6" customFormat="1" x14ac:dyDescent="0.3">
      <c r="A27" s="6" t="s">
        <v>117</v>
      </c>
    </row>
    <row r="51" spans="1:8" s="6" customFormat="1" x14ac:dyDescent="0.3">
      <c r="A51" s="6" t="s">
        <v>116</v>
      </c>
    </row>
    <row r="52" spans="1:8" ht="15.6" x14ac:dyDescent="0.3">
      <c r="H52" s="37"/>
    </row>
    <row r="53" spans="1:8" ht="15.6" x14ac:dyDescent="0.3">
      <c r="H53" s="37"/>
    </row>
    <row r="54" spans="1:8" ht="15.6" x14ac:dyDescent="0.3">
      <c r="H54" s="37"/>
    </row>
  </sheetData>
  <mergeCells count="4">
    <mergeCell ref="C8:D8"/>
    <mergeCell ref="C15:G15"/>
    <mergeCell ref="J15:N15"/>
    <mergeCell ref="C19:C25"/>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D09C9-7BA4-44A2-8D45-FD0AE3399DFB}">
  <sheetPr>
    <tabColor theme="9" tint="0.59999389629810485"/>
  </sheetPr>
  <dimension ref="A1:AB83"/>
  <sheetViews>
    <sheetView workbookViewId="0">
      <selection activeCell="A3" sqref="A3"/>
    </sheetView>
  </sheetViews>
  <sheetFormatPr defaultRowHeight="14.4" x14ac:dyDescent="0.3"/>
  <cols>
    <col min="3" max="3" width="20.5546875" customWidth="1"/>
    <col min="4" max="4" width="13" customWidth="1"/>
    <col min="5" max="5" width="14.5546875" bestFit="1" customWidth="1"/>
    <col min="6" max="7" width="12.21875" customWidth="1"/>
    <col min="9" max="9" width="9.6640625" bestFit="1" customWidth="1"/>
    <col min="15" max="15" width="19" bestFit="1" customWidth="1"/>
  </cols>
  <sheetData>
    <row r="1" spans="1:14" ht="15" thickBot="1" x14ac:dyDescent="0.35">
      <c r="A1" t="s">
        <v>124</v>
      </c>
    </row>
    <row r="2" spans="1:14" ht="15" thickBot="1" x14ac:dyDescent="0.35">
      <c r="F2" s="25" t="s">
        <v>40</v>
      </c>
      <c r="G2" s="24"/>
    </row>
    <row r="3" spans="1:14" x14ac:dyDescent="0.3">
      <c r="F3" s="23" t="s">
        <v>39</v>
      </c>
      <c r="G3" s="23"/>
      <c r="H3" s="46"/>
    </row>
    <row r="4" spans="1:14" ht="15" thickBot="1" x14ac:dyDescent="0.35">
      <c r="F4" s="22" t="s">
        <v>38</v>
      </c>
      <c r="G4" s="22"/>
      <c r="H4" s="22"/>
    </row>
    <row r="5" spans="1:14" ht="15.6" thickTop="1" thickBot="1" x14ac:dyDescent="0.35">
      <c r="F5" s="21" t="s">
        <v>37</v>
      </c>
      <c r="G5" s="21"/>
      <c r="H5" s="21"/>
    </row>
    <row r="6" spans="1:14" ht="15" thickTop="1" x14ac:dyDescent="0.3">
      <c r="F6" s="20" t="s">
        <v>36</v>
      </c>
      <c r="G6" s="19"/>
      <c r="H6" s="45"/>
    </row>
    <row r="7" spans="1:14" ht="15" thickBot="1" x14ac:dyDescent="0.35"/>
    <row r="8" spans="1:14" ht="15" thickBot="1" x14ac:dyDescent="0.35">
      <c r="C8" s="182" t="s">
        <v>16</v>
      </c>
      <c r="D8" s="184"/>
    </row>
    <row r="9" spans="1:14" s="8" customFormat="1" x14ac:dyDescent="0.3"/>
    <row r="10" spans="1:14" s="8" customFormat="1" x14ac:dyDescent="0.3"/>
    <row r="11" spans="1:14" s="8" customFormat="1" x14ac:dyDescent="0.3"/>
    <row r="12" spans="1:14" s="8" customFormat="1" x14ac:dyDescent="0.3"/>
    <row r="13" spans="1:14" s="8" customFormat="1" x14ac:dyDescent="0.3">
      <c r="C13" s="3">
        <v>0.1</v>
      </c>
      <c r="D13" t="s">
        <v>123</v>
      </c>
    </row>
    <row r="14" spans="1:14" s="8" customFormat="1" ht="15" thickBot="1" x14ac:dyDescent="0.35"/>
    <row r="15" spans="1:14" ht="15" thickBot="1" x14ac:dyDescent="0.35">
      <c r="C15" s="182" t="s">
        <v>10</v>
      </c>
      <c r="D15" s="183"/>
      <c r="E15" s="183"/>
      <c r="F15" s="183"/>
      <c r="G15" s="184"/>
      <c r="J15" s="182" t="s">
        <v>9</v>
      </c>
      <c r="K15" s="183"/>
      <c r="L15" s="183"/>
      <c r="M15" s="183"/>
      <c r="N15" s="184"/>
    </row>
    <row r="16" spans="1:14" s="6" customFormat="1" x14ac:dyDescent="0.3">
      <c r="A16" s="6" t="s">
        <v>93</v>
      </c>
      <c r="C16" s="44"/>
      <c r="D16" s="44"/>
      <c r="E16" s="44"/>
      <c r="F16" s="44"/>
      <c r="G16" s="44"/>
      <c r="H16" s="44"/>
      <c r="I16" s="44"/>
    </row>
    <row r="18" spans="1:28" ht="31.2" x14ac:dyDescent="0.3">
      <c r="C18" s="42"/>
      <c r="D18" s="40" t="s">
        <v>122</v>
      </c>
      <c r="E18" s="40" t="s">
        <v>121</v>
      </c>
      <c r="F18" s="40" t="s">
        <v>120</v>
      </c>
      <c r="G18" s="41" t="s">
        <v>119</v>
      </c>
      <c r="H18" s="43"/>
      <c r="J18" t="str">
        <f>D18</f>
        <v>Physician A</v>
      </c>
      <c r="K18" t="str">
        <f>E18</f>
        <v>Physician B</v>
      </c>
      <c r="L18" t="str">
        <f>F18</f>
        <v>Physician C</v>
      </c>
      <c r="M18" t="str">
        <f>G18</f>
        <v>All Other Physicians</v>
      </c>
      <c r="N18" t="s">
        <v>380</v>
      </c>
    </row>
    <row r="19" spans="1:28" ht="15.6" x14ac:dyDescent="0.3">
      <c r="C19" s="187" t="s">
        <v>118</v>
      </c>
      <c r="D19" s="38">
        <v>350</v>
      </c>
      <c r="E19" s="38">
        <v>340</v>
      </c>
      <c r="F19" s="38">
        <v>355</v>
      </c>
      <c r="G19" s="38">
        <v>286</v>
      </c>
      <c r="H19" s="37"/>
      <c r="I19" t="s">
        <v>418</v>
      </c>
      <c r="J19" s="7">
        <f>SUM(D19:D25)</f>
        <v>1589</v>
      </c>
      <c r="K19" s="7">
        <f>SUM(E19:E25)</f>
        <v>1894</v>
      </c>
      <c r="L19" s="7">
        <f>SUM(F19:F25)</f>
        <v>1862</v>
      </c>
      <c r="M19" s="7">
        <f>SUM(G19:G25)</f>
        <v>2409</v>
      </c>
      <c r="N19" s="7">
        <f>SUM(J19:M19)</f>
        <v>7754</v>
      </c>
    </row>
    <row r="20" spans="1:28" ht="15.6" x14ac:dyDescent="0.3">
      <c r="C20" s="187"/>
      <c r="D20" s="38">
        <v>300</v>
      </c>
      <c r="E20" s="38">
        <v>338</v>
      </c>
      <c r="F20" s="38">
        <v>400</v>
      </c>
      <c r="G20" s="38">
        <v>335</v>
      </c>
      <c r="H20" s="37"/>
      <c r="I20" t="s">
        <v>283</v>
      </c>
      <c r="J20">
        <f>COUNTA(D19:D25)</f>
        <v>5</v>
      </c>
      <c r="K20">
        <f>COUNTA(E19:E25)</f>
        <v>6</v>
      </c>
      <c r="L20">
        <f>COUNTA(F19:F25)</f>
        <v>5</v>
      </c>
      <c r="M20">
        <f>COUNTA(G19:G25)</f>
        <v>7</v>
      </c>
      <c r="N20" s="7">
        <f>SUM(J20:M20)</f>
        <v>23</v>
      </c>
    </row>
    <row r="21" spans="1:28" ht="15.6" x14ac:dyDescent="0.3">
      <c r="C21" s="187"/>
      <c r="D21" s="38">
        <v>305</v>
      </c>
      <c r="E21" s="38">
        <v>280</v>
      </c>
      <c r="F21" s="38">
        <v>385</v>
      </c>
      <c r="G21" s="38">
        <v>372</v>
      </c>
      <c r="H21" s="37"/>
      <c r="I21" t="s">
        <v>415</v>
      </c>
      <c r="J21" s="28">
        <f>J19/J20</f>
        <v>317.8</v>
      </c>
      <c r="K21" s="28">
        <f>K19/K20</f>
        <v>315.66666666666669</v>
      </c>
      <c r="L21" s="28">
        <f>L19/L20</f>
        <v>372.4</v>
      </c>
      <c r="M21" s="28">
        <f>M19/M20</f>
        <v>344.14285714285717</v>
      </c>
      <c r="N21" s="28">
        <f>N19/N20</f>
        <v>337.13043478260869</v>
      </c>
    </row>
    <row r="22" spans="1:28" ht="15.6" x14ac:dyDescent="0.3">
      <c r="C22" s="187"/>
      <c r="D22" s="38">
        <v>373</v>
      </c>
      <c r="E22" s="38">
        <v>298</v>
      </c>
      <c r="F22" s="38">
        <v>374</v>
      </c>
      <c r="G22" s="38">
        <v>334</v>
      </c>
      <c r="H22" s="37"/>
    </row>
    <row r="23" spans="1:28" ht="15.6" x14ac:dyDescent="0.3">
      <c r="C23" s="187"/>
      <c r="D23" s="38">
        <v>261</v>
      </c>
      <c r="E23" s="38">
        <v>322</v>
      </c>
      <c r="F23" s="38">
        <v>348</v>
      </c>
      <c r="G23" s="38">
        <v>382</v>
      </c>
      <c r="H23" s="37"/>
      <c r="J23" t="s">
        <v>122</v>
      </c>
      <c r="K23" t="s">
        <v>121</v>
      </c>
      <c r="L23" t="s">
        <v>120</v>
      </c>
    </row>
    <row r="24" spans="1:28" ht="15.6" x14ac:dyDescent="0.3">
      <c r="C24" s="187"/>
      <c r="D24" s="42"/>
      <c r="E24" s="38">
        <v>316</v>
      </c>
      <c r="F24" s="42"/>
      <c r="G24" s="38">
        <v>334</v>
      </c>
      <c r="H24" s="37"/>
      <c r="I24" s="18" t="s">
        <v>417</v>
      </c>
      <c r="J24" s="87">
        <f>J21/$N$21</f>
        <v>0.94266185194738206</v>
      </c>
      <c r="K24" s="87">
        <f>K21/$N$21</f>
        <v>0.93633393517324404</v>
      </c>
      <c r="L24" s="87">
        <f>L21/$N$21</f>
        <v>1.1046169718854784</v>
      </c>
    </row>
    <row r="25" spans="1:28" ht="15.6" x14ac:dyDescent="0.3">
      <c r="C25" s="187"/>
      <c r="D25" s="39"/>
      <c r="E25" s="40"/>
      <c r="F25" s="39"/>
      <c r="G25" s="38">
        <v>366</v>
      </c>
      <c r="H25" s="37"/>
    </row>
    <row r="27" spans="1:28" s="6" customFormat="1" x14ac:dyDescent="0.3">
      <c r="A27" s="6" t="s">
        <v>117</v>
      </c>
    </row>
    <row r="28" spans="1:28" x14ac:dyDescent="0.3">
      <c r="J28" s="85" t="s">
        <v>416</v>
      </c>
      <c r="K28" s="6" t="s">
        <v>283</v>
      </c>
      <c r="L28" s="6" t="s">
        <v>415</v>
      </c>
      <c r="N28" t="s">
        <v>216</v>
      </c>
    </row>
    <row r="29" spans="1:28" x14ac:dyDescent="0.3">
      <c r="J29" s="18" t="s">
        <v>408</v>
      </c>
      <c r="K29">
        <f>SUM(J20:K20)</f>
        <v>11</v>
      </c>
      <c r="L29" s="27">
        <f>SUM(J19:K19)/SUM(J20:K20)</f>
        <v>316.63636363636363</v>
      </c>
      <c r="N29" s="3">
        <v>0.9</v>
      </c>
      <c r="O29" s="23" t="s">
        <v>414</v>
      </c>
      <c r="P29" s="23"/>
      <c r="Q29" s="23"/>
      <c r="R29" s="23"/>
    </row>
    <row r="30" spans="1:28" x14ac:dyDescent="0.3">
      <c r="J30" s="18" t="s">
        <v>407</v>
      </c>
      <c r="K30">
        <f>SUM(L20:M20)</f>
        <v>12</v>
      </c>
      <c r="L30" s="27">
        <f>SUM(L19:M19)/SUM(L20:M20)</f>
        <v>355.91666666666669</v>
      </c>
      <c r="N30" s="3">
        <v>0.8</v>
      </c>
      <c r="O30" s="23" t="s">
        <v>413</v>
      </c>
      <c r="P30" s="23"/>
      <c r="Q30" s="23"/>
      <c r="R30" s="23"/>
      <c r="S30" s="23"/>
      <c r="T30" s="23"/>
      <c r="U30" s="23"/>
      <c r="V30" s="23"/>
      <c r="W30" s="23"/>
      <c r="X30" s="23"/>
      <c r="Y30" s="23"/>
      <c r="Z30" s="23"/>
      <c r="AA30" s="23"/>
      <c r="AB30" s="23"/>
    </row>
    <row r="32" spans="1:28" x14ac:dyDescent="0.3">
      <c r="J32" s="84" t="s">
        <v>412</v>
      </c>
    </row>
    <row r="33" spans="10:22" x14ac:dyDescent="0.3">
      <c r="K33" s="6" t="s">
        <v>410</v>
      </c>
      <c r="L33" s="6" t="s">
        <v>409</v>
      </c>
    </row>
    <row r="34" spans="10:22" x14ac:dyDescent="0.3">
      <c r="J34" s="18" t="s">
        <v>408</v>
      </c>
      <c r="K34" s="27">
        <f>L29*N29</f>
        <v>284.9727272727273</v>
      </c>
      <c r="L34" s="27">
        <f>L29*(1-N29)</f>
        <v>31.663636363636357</v>
      </c>
    </row>
    <row r="35" spans="10:22" x14ac:dyDescent="0.3">
      <c r="J35" s="18" t="s">
        <v>407</v>
      </c>
      <c r="K35" s="27">
        <f>L30*N29</f>
        <v>320.32500000000005</v>
      </c>
      <c r="L35" s="27">
        <f>L30*(1-N29)</f>
        <v>35.591666666666661</v>
      </c>
    </row>
    <row r="36" spans="10:22" x14ac:dyDescent="0.3">
      <c r="J36" s="18"/>
      <c r="T36" s="7"/>
      <c r="V36" s="7"/>
    </row>
    <row r="37" spans="10:22" x14ac:dyDescent="0.3">
      <c r="J37" s="84" t="s">
        <v>411</v>
      </c>
      <c r="T37" s="5"/>
      <c r="V37" s="5"/>
    </row>
    <row r="38" spans="10:22" x14ac:dyDescent="0.3">
      <c r="K38" s="6" t="s">
        <v>410</v>
      </c>
      <c r="L38" s="6" t="s">
        <v>409</v>
      </c>
    </row>
    <row r="39" spans="10:22" x14ac:dyDescent="0.3">
      <c r="J39" s="18" t="s">
        <v>408</v>
      </c>
      <c r="K39" s="27">
        <f>L29*N29</f>
        <v>284.9727272727273</v>
      </c>
      <c r="L39" s="27">
        <f>L29*(1-N29)</f>
        <v>31.663636363636357</v>
      </c>
    </row>
    <row r="40" spans="10:22" x14ac:dyDescent="0.3">
      <c r="J40" s="18" t="s">
        <v>407</v>
      </c>
      <c r="K40" s="27">
        <f>L30*N30</f>
        <v>284.73333333333335</v>
      </c>
      <c r="L40" s="27">
        <f>L30*(1-N30)</f>
        <v>71.183333333333323</v>
      </c>
    </row>
    <row r="42" spans="10:22" x14ac:dyDescent="0.3">
      <c r="J42" s="3">
        <v>0.65</v>
      </c>
      <c r="K42" t="s">
        <v>212</v>
      </c>
    </row>
    <row r="43" spans="10:22" x14ac:dyDescent="0.3">
      <c r="J43" s="3"/>
    </row>
    <row r="44" spans="10:22" x14ac:dyDescent="0.3">
      <c r="K44" s="49">
        <f>K35*K30/SUMPRODUCT(K29:K30,K34:K35)</f>
        <v>0.55081248387928816</v>
      </c>
      <c r="L44" t="s">
        <v>406</v>
      </c>
    </row>
    <row r="45" spans="10:22" x14ac:dyDescent="0.3">
      <c r="K45" s="49">
        <f>(K35-K34)/K35</f>
        <v>0.11036376407483882</v>
      </c>
      <c r="L45" t="s">
        <v>405</v>
      </c>
    </row>
    <row r="46" spans="10:22" x14ac:dyDescent="0.3">
      <c r="K46" s="49">
        <f>(L40-L35)/K35</f>
        <v>0.11111111111111108</v>
      </c>
      <c r="L46" t="s">
        <v>404</v>
      </c>
    </row>
    <row r="47" spans="10:22" x14ac:dyDescent="0.3">
      <c r="K47" s="49">
        <v>0.5</v>
      </c>
      <c r="L47" t="s">
        <v>403</v>
      </c>
    </row>
    <row r="49" spans="1:28" x14ac:dyDescent="0.3">
      <c r="J49" t="s">
        <v>402</v>
      </c>
      <c r="K49" s="70">
        <f>K44*(K46+K47*(K45-K46))</f>
        <v>6.0995563059014192E-2</v>
      </c>
    </row>
    <row r="51" spans="1:28" s="6" customFormat="1" x14ac:dyDescent="0.3">
      <c r="A51" s="6" t="s">
        <v>116</v>
      </c>
    </row>
    <row r="52" spans="1:28" ht="15.6" x14ac:dyDescent="0.3">
      <c r="H52" s="37"/>
    </row>
    <row r="53" spans="1:28" ht="15.6" x14ac:dyDescent="0.3">
      <c r="H53" s="37"/>
    </row>
    <row r="54" spans="1:28" ht="15.6" x14ac:dyDescent="0.3">
      <c r="H54" s="37"/>
      <c r="J54" t="s">
        <v>122</v>
      </c>
      <c r="K54" t="s">
        <v>121</v>
      </c>
      <c r="L54" t="s">
        <v>120</v>
      </c>
      <c r="M54" t="s">
        <v>119</v>
      </c>
      <c r="N54" t="s">
        <v>380</v>
      </c>
    </row>
    <row r="55" spans="1:28" x14ac:dyDescent="0.3">
      <c r="I55" t="s">
        <v>418</v>
      </c>
      <c r="J55" s="7">
        <f>J19</f>
        <v>1589</v>
      </c>
      <c r="K55" s="7">
        <f>K19</f>
        <v>1894</v>
      </c>
      <c r="L55" s="7">
        <f>L19*(1-C13)</f>
        <v>1675.8</v>
      </c>
      <c r="M55" s="7">
        <f>M19</f>
        <v>2409</v>
      </c>
      <c r="N55" s="7">
        <f>SUM(J55:M55)</f>
        <v>7567.8</v>
      </c>
    </row>
    <row r="56" spans="1:28" x14ac:dyDescent="0.3">
      <c r="I56" t="s">
        <v>283</v>
      </c>
      <c r="J56">
        <f>J20</f>
        <v>5</v>
      </c>
      <c r="K56">
        <f>K20</f>
        <v>6</v>
      </c>
      <c r="L56">
        <f>L20</f>
        <v>5</v>
      </c>
      <c r="M56">
        <f>M20</f>
        <v>7</v>
      </c>
      <c r="N56" s="7">
        <f>SUM(J56:M56)</f>
        <v>23</v>
      </c>
    </row>
    <row r="57" spans="1:28" x14ac:dyDescent="0.3">
      <c r="I57" t="s">
        <v>415</v>
      </c>
      <c r="J57" s="28">
        <f>J55/J56</f>
        <v>317.8</v>
      </c>
      <c r="K57" s="28">
        <f>K55/K56</f>
        <v>315.66666666666669</v>
      </c>
      <c r="L57" s="28">
        <f>L55/L56</f>
        <v>335.15999999999997</v>
      </c>
      <c r="M57" s="28">
        <f>M55/M56</f>
        <v>344.14285714285717</v>
      </c>
      <c r="N57" s="28">
        <f>N55/N56</f>
        <v>329.03478260869565</v>
      </c>
    </row>
    <row r="59" spans="1:28" x14ac:dyDescent="0.3">
      <c r="J59" t="s">
        <v>122</v>
      </c>
      <c r="K59" t="s">
        <v>121</v>
      </c>
      <c r="L59" t="s">
        <v>120</v>
      </c>
    </row>
    <row r="60" spans="1:28" x14ac:dyDescent="0.3">
      <c r="I60" s="18" t="s">
        <v>417</v>
      </c>
      <c r="J60" s="86">
        <f>J57/$N$57</f>
        <v>0.9658553344432993</v>
      </c>
      <c r="K60" s="86">
        <f>K57/$N$57</f>
        <v>0.95937172405895155</v>
      </c>
      <c r="L60" s="86">
        <f>L57/$N$57</f>
        <v>1.0186157139459286</v>
      </c>
    </row>
    <row r="62" spans="1:28" x14ac:dyDescent="0.3">
      <c r="J62" s="85" t="s">
        <v>416</v>
      </c>
      <c r="K62" s="6" t="s">
        <v>283</v>
      </c>
      <c r="L62" s="6" t="s">
        <v>415</v>
      </c>
      <c r="N62" t="s">
        <v>216</v>
      </c>
    </row>
    <row r="63" spans="1:28" x14ac:dyDescent="0.3">
      <c r="J63" s="18" t="s">
        <v>408</v>
      </c>
      <c r="K63">
        <f>SUM(J56:K56)</f>
        <v>11</v>
      </c>
      <c r="L63" s="27">
        <f>SUM(J55:K55)/SUM(J56:K56)</f>
        <v>316.63636363636363</v>
      </c>
      <c r="N63" s="3">
        <v>0.9</v>
      </c>
      <c r="O63" s="23" t="s">
        <v>414</v>
      </c>
      <c r="P63" s="23"/>
      <c r="Q63" s="23"/>
      <c r="R63" s="23"/>
    </row>
    <row r="64" spans="1:28" x14ac:dyDescent="0.3">
      <c r="J64" s="18" t="s">
        <v>407</v>
      </c>
      <c r="K64">
        <f>SUM(L56:M56)</f>
        <v>12</v>
      </c>
      <c r="L64" s="27">
        <f>SUM(L55:M55)/SUM(L56:M56)</f>
        <v>340.40000000000003</v>
      </c>
      <c r="N64" s="3">
        <v>0.8</v>
      </c>
      <c r="O64" s="23" t="s">
        <v>413</v>
      </c>
      <c r="P64" s="23"/>
      <c r="Q64" s="23"/>
      <c r="R64" s="23"/>
      <c r="S64" s="23"/>
      <c r="T64" s="23"/>
      <c r="U64" s="23"/>
      <c r="V64" s="23"/>
      <c r="W64" s="23"/>
      <c r="X64" s="23"/>
      <c r="Y64" s="23"/>
      <c r="Z64" s="23"/>
      <c r="AA64" s="23"/>
      <c r="AB64" s="23"/>
    </row>
    <row r="66" spans="10:22" x14ac:dyDescent="0.3">
      <c r="J66" s="84" t="s">
        <v>412</v>
      </c>
    </row>
    <row r="67" spans="10:22" x14ac:dyDescent="0.3">
      <c r="K67" s="6" t="s">
        <v>410</v>
      </c>
      <c r="L67" s="6" t="s">
        <v>409</v>
      </c>
    </row>
    <row r="68" spans="10:22" x14ac:dyDescent="0.3">
      <c r="J68" s="18" t="s">
        <v>408</v>
      </c>
      <c r="K68" s="27">
        <f>L63*N63</f>
        <v>284.9727272727273</v>
      </c>
      <c r="L68" s="27">
        <f>L63*(1-N63)</f>
        <v>31.663636363636357</v>
      </c>
    </row>
    <row r="69" spans="10:22" x14ac:dyDescent="0.3">
      <c r="J69" s="18" t="s">
        <v>407</v>
      </c>
      <c r="K69" s="27">
        <f>L64*N63</f>
        <v>306.36</v>
      </c>
      <c r="L69" s="27">
        <f>L64*(1-N63)</f>
        <v>34.04</v>
      </c>
    </row>
    <row r="70" spans="10:22" x14ac:dyDescent="0.3">
      <c r="J70" s="18"/>
      <c r="T70" s="7"/>
      <c r="V70" s="7"/>
    </row>
    <row r="71" spans="10:22" x14ac:dyDescent="0.3">
      <c r="J71" s="84" t="s">
        <v>411</v>
      </c>
      <c r="T71" s="5"/>
      <c r="V71" s="5"/>
    </row>
    <row r="72" spans="10:22" x14ac:dyDescent="0.3">
      <c r="K72" s="6" t="s">
        <v>410</v>
      </c>
      <c r="L72" s="6" t="s">
        <v>409</v>
      </c>
    </row>
    <row r="73" spans="10:22" x14ac:dyDescent="0.3">
      <c r="J73" s="18" t="s">
        <v>408</v>
      </c>
      <c r="K73" s="27">
        <f>L63*N63</f>
        <v>284.9727272727273</v>
      </c>
      <c r="L73" s="27">
        <f>L63*(1-N63)</f>
        <v>31.663636363636357</v>
      </c>
    </row>
    <row r="74" spans="10:22" x14ac:dyDescent="0.3">
      <c r="J74" s="18" t="s">
        <v>407</v>
      </c>
      <c r="K74" s="27">
        <f>L64*N64</f>
        <v>272.32000000000005</v>
      </c>
      <c r="L74" s="27">
        <f>L64*(1-N64)</f>
        <v>68.08</v>
      </c>
    </row>
    <row r="76" spans="10:22" x14ac:dyDescent="0.3">
      <c r="J76" s="3">
        <v>0.65</v>
      </c>
      <c r="K76" t="s">
        <v>212</v>
      </c>
    </row>
    <row r="77" spans="10:22" x14ac:dyDescent="0.3">
      <c r="J77" s="3"/>
    </row>
    <row r="78" spans="10:22" x14ac:dyDescent="0.3">
      <c r="K78" s="49">
        <f>K69*K64/SUMPRODUCT(K63:K64,K68:K69)</f>
        <v>0.53976056449694754</v>
      </c>
      <c r="L78" t="s">
        <v>406</v>
      </c>
    </row>
    <row r="79" spans="10:22" x14ac:dyDescent="0.3">
      <c r="K79" s="49">
        <f>(K69-K68)/K69</f>
        <v>6.981091763700456E-2</v>
      </c>
      <c r="L79" t="s">
        <v>405</v>
      </c>
    </row>
    <row r="80" spans="10:22" x14ac:dyDescent="0.3">
      <c r="K80" s="49">
        <f>(L74-L69)/K69</f>
        <v>0.1111111111111111</v>
      </c>
      <c r="L80" t="s">
        <v>404</v>
      </c>
    </row>
    <row r="81" spans="10:12" x14ac:dyDescent="0.3">
      <c r="K81" s="49">
        <v>0.5</v>
      </c>
      <c r="L81" t="s">
        <v>403</v>
      </c>
    </row>
    <row r="83" spans="10:12" x14ac:dyDescent="0.3">
      <c r="J83" t="s">
        <v>402</v>
      </c>
      <c r="K83" s="70">
        <f>K78*(K80+K81*(K79-K80))</f>
        <v>4.8827288183507941E-2</v>
      </c>
    </row>
  </sheetData>
  <mergeCells count="4">
    <mergeCell ref="C8:D8"/>
    <mergeCell ref="C15:G15"/>
    <mergeCell ref="J15:N15"/>
    <mergeCell ref="C19:C2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C7844-3B9A-486F-8836-40A6E0898689}">
  <sheetPr>
    <tabColor theme="5" tint="0.39997558519241921"/>
  </sheetPr>
  <dimension ref="A1:P39"/>
  <sheetViews>
    <sheetView workbookViewId="0">
      <selection activeCell="K41" sqref="K41"/>
    </sheetView>
  </sheetViews>
  <sheetFormatPr defaultRowHeight="14.4" x14ac:dyDescent="0.3"/>
  <cols>
    <col min="12" max="12" width="11" customWidth="1"/>
  </cols>
  <sheetData>
    <row r="1" spans="1:8" ht="15" thickBot="1" x14ac:dyDescent="0.35">
      <c r="A1" t="s">
        <v>142</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D12" t="s">
        <v>141</v>
      </c>
    </row>
    <row r="13" spans="1:8" x14ac:dyDescent="0.3">
      <c r="D13" t="s">
        <v>140</v>
      </c>
    </row>
    <row r="14" spans="1:8" x14ac:dyDescent="0.3">
      <c r="D14" t="s">
        <v>139</v>
      </c>
    </row>
    <row r="16" spans="1:8" x14ac:dyDescent="0.3">
      <c r="C16" s="49">
        <v>0.02</v>
      </c>
      <c r="D16" t="s">
        <v>138</v>
      </c>
    </row>
    <row r="17" spans="3:16" x14ac:dyDescent="0.3">
      <c r="C17" s="49">
        <v>0.05</v>
      </c>
      <c r="D17" t="s">
        <v>137</v>
      </c>
    </row>
    <row r="18" spans="3:16" x14ac:dyDescent="0.3">
      <c r="C18" s="49">
        <v>7.0000000000000007E-2</v>
      </c>
      <c r="D18" t="s">
        <v>136</v>
      </c>
    </row>
    <row r="21" spans="3:16" ht="15" thickBot="1" x14ac:dyDescent="0.35"/>
    <row r="22" spans="3:16" ht="15" thickBot="1" x14ac:dyDescent="0.35">
      <c r="C22" s="182" t="s">
        <v>10</v>
      </c>
      <c r="D22" s="183"/>
      <c r="E22" s="183"/>
      <c r="F22" s="183"/>
      <c r="G22" s="183"/>
      <c r="H22" s="183"/>
      <c r="I22" s="183"/>
      <c r="J22" s="184"/>
      <c r="L22" s="182" t="s">
        <v>9</v>
      </c>
      <c r="M22" s="183"/>
      <c r="N22" s="183"/>
      <c r="O22" s="183"/>
      <c r="P22" s="184"/>
    </row>
    <row r="25" spans="3:16" x14ac:dyDescent="0.3">
      <c r="C25" t="s">
        <v>135</v>
      </c>
    </row>
    <row r="26" spans="3:16" x14ac:dyDescent="0.3">
      <c r="C26" s="188" t="s">
        <v>134</v>
      </c>
      <c r="D26" s="188"/>
      <c r="E26" s="188"/>
      <c r="F26" s="2"/>
      <c r="G26" s="188" t="s">
        <v>132</v>
      </c>
      <c r="H26" s="188"/>
      <c r="I26" s="188"/>
      <c r="J26" s="188"/>
    </row>
    <row r="27" spans="3:16" x14ac:dyDescent="0.3">
      <c r="C27" s="2" t="s">
        <v>131</v>
      </c>
      <c r="D27" s="2" t="s">
        <v>130</v>
      </c>
      <c r="E27" s="2" t="s">
        <v>129</v>
      </c>
      <c r="F27" s="2" t="s">
        <v>128</v>
      </c>
      <c r="G27" s="2" t="s">
        <v>131</v>
      </c>
      <c r="H27" s="2" t="s">
        <v>130</v>
      </c>
      <c r="I27" s="2" t="s">
        <v>129</v>
      </c>
      <c r="J27" s="2" t="s">
        <v>128</v>
      </c>
    </row>
    <row r="28" spans="3:16" x14ac:dyDescent="0.3">
      <c r="C28" s="2" t="s">
        <v>127</v>
      </c>
      <c r="D28" s="47">
        <v>0.1</v>
      </c>
      <c r="E28" s="48">
        <v>23000</v>
      </c>
      <c r="F28" s="47">
        <v>0.15</v>
      </c>
      <c r="G28" s="2" t="s">
        <v>127</v>
      </c>
      <c r="H28" s="47">
        <v>0.15</v>
      </c>
      <c r="I28" s="48">
        <v>24000</v>
      </c>
      <c r="J28" s="47">
        <v>0.15</v>
      </c>
    </row>
    <row r="29" spans="3:16" x14ac:dyDescent="0.3">
      <c r="C29" s="2" t="s">
        <v>126</v>
      </c>
      <c r="D29" s="47">
        <v>0.48</v>
      </c>
      <c r="E29" s="48">
        <v>35000</v>
      </c>
      <c r="F29" s="47">
        <v>0.08</v>
      </c>
      <c r="G29" s="2" t="s">
        <v>126</v>
      </c>
      <c r="H29" s="47">
        <v>0.47</v>
      </c>
      <c r="I29" s="48">
        <v>34500</v>
      </c>
      <c r="J29" s="47">
        <v>0.06</v>
      </c>
    </row>
    <row r="30" spans="3:16" x14ac:dyDescent="0.3">
      <c r="C30" s="2" t="s">
        <v>125</v>
      </c>
      <c r="D30" s="47">
        <v>0.42</v>
      </c>
      <c r="E30" s="48">
        <v>40000</v>
      </c>
      <c r="F30" s="47">
        <v>0.05</v>
      </c>
      <c r="G30" s="2" t="s">
        <v>125</v>
      </c>
      <c r="H30" s="47">
        <v>0.38</v>
      </c>
      <c r="I30" s="48">
        <v>40000</v>
      </c>
      <c r="J30" s="47">
        <v>0.04</v>
      </c>
    </row>
    <row r="34" spans="3:6" x14ac:dyDescent="0.3">
      <c r="C34" t="s">
        <v>133</v>
      </c>
    </row>
    <row r="35" spans="3:6" x14ac:dyDescent="0.3">
      <c r="C35" s="188" t="s">
        <v>132</v>
      </c>
      <c r="D35" s="188"/>
      <c r="E35" s="188"/>
      <c r="F35" s="188"/>
    </row>
    <row r="36" spans="3:6" x14ac:dyDescent="0.3">
      <c r="C36" s="2" t="s">
        <v>131</v>
      </c>
      <c r="D36" s="2" t="s">
        <v>130</v>
      </c>
      <c r="E36" s="2" t="s">
        <v>129</v>
      </c>
      <c r="F36" s="2" t="s">
        <v>128</v>
      </c>
    </row>
    <row r="37" spans="3:6" x14ac:dyDescent="0.3">
      <c r="C37" s="2" t="s">
        <v>127</v>
      </c>
      <c r="D37" s="47">
        <v>0.56000000000000005</v>
      </c>
      <c r="E37" s="48">
        <v>22755</v>
      </c>
      <c r="F37" s="47">
        <v>0.2</v>
      </c>
    </row>
    <row r="38" spans="3:6" x14ac:dyDescent="0.3">
      <c r="C38" s="2" t="s">
        <v>126</v>
      </c>
      <c r="D38" s="47">
        <v>0.32</v>
      </c>
      <c r="E38" s="48">
        <v>32931</v>
      </c>
      <c r="F38" s="47">
        <v>7.0000000000000007E-2</v>
      </c>
    </row>
    <row r="39" spans="3:6" x14ac:dyDescent="0.3">
      <c r="C39" s="2" t="s">
        <v>125</v>
      </c>
      <c r="D39" s="47">
        <v>0.12</v>
      </c>
      <c r="E39" s="48">
        <v>40226</v>
      </c>
      <c r="F39" s="47">
        <v>0.03</v>
      </c>
    </row>
  </sheetData>
  <mergeCells count="6">
    <mergeCell ref="C35:F35"/>
    <mergeCell ref="C10:F10"/>
    <mergeCell ref="C22:J22"/>
    <mergeCell ref="L22:P22"/>
    <mergeCell ref="C26:E26"/>
    <mergeCell ref="G26:J26"/>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97E95-8699-4B57-A944-07FAAAF28CA9}">
  <sheetPr>
    <tabColor theme="9" tint="0.59999389629810485"/>
  </sheetPr>
  <dimension ref="A1:P45"/>
  <sheetViews>
    <sheetView workbookViewId="0">
      <selection activeCell="A3" sqref="A3"/>
    </sheetView>
  </sheetViews>
  <sheetFormatPr defaultRowHeight="14.4" x14ac:dyDescent="0.3"/>
  <cols>
    <col min="12" max="12" width="11" customWidth="1"/>
  </cols>
  <sheetData>
    <row r="1" spans="1:8" ht="15" thickBot="1" x14ac:dyDescent="0.35">
      <c r="A1" t="s">
        <v>142</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D12" t="s">
        <v>141</v>
      </c>
    </row>
    <row r="13" spans="1:8" x14ac:dyDescent="0.3">
      <c r="D13" t="s">
        <v>140</v>
      </c>
    </row>
    <row r="14" spans="1:8" x14ac:dyDescent="0.3">
      <c r="D14" t="s">
        <v>139</v>
      </c>
    </row>
    <row r="16" spans="1:8" x14ac:dyDescent="0.3">
      <c r="C16" s="49">
        <v>0.02</v>
      </c>
      <c r="D16" t="s">
        <v>138</v>
      </c>
    </row>
    <row r="17" spans="3:16" x14ac:dyDescent="0.3">
      <c r="C17" s="49">
        <v>0.05</v>
      </c>
      <c r="D17" t="s">
        <v>137</v>
      </c>
    </row>
    <row r="18" spans="3:16" x14ac:dyDescent="0.3">
      <c r="C18" s="49">
        <v>7.0000000000000007E-2</v>
      </c>
      <c r="D18" t="s">
        <v>136</v>
      </c>
    </row>
    <row r="21" spans="3:16" ht="15" thickBot="1" x14ac:dyDescent="0.35"/>
    <row r="22" spans="3:16" ht="15" thickBot="1" x14ac:dyDescent="0.35">
      <c r="C22" s="182" t="s">
        <v>10</v>
      </c>
      <c r="D22" s="183"/>
      <c r="E22" s="183"/>
      <c r="F22" s="183"/>
      <c r="G22" s="183"/>
      <c r="H22" s="183"/>
      <c r="I22" s="183"/>
      <c r="J22" s="184"/>
      <c r="L22" s="182" t="s">
        <v>9</v>
      </c>
      <c r="M22" s="183"/>
      <c r="N22" s="183"/>
      <c r="O22" s="183"/>
      <c r="P22" s="184"/>
    </row>
    <row r="25" spans="3:16" x14ac:dyDescent="0.3">
      <c r="C25" t="s">
        <v>135</v>
      </c>
    </row>
    <row r="26" spans="3:16" x14ac:dyDescent="0.3">
      <c r="C26" s="188" t="s">
        <v>134</v>
      </c>
      <c r="D26" s="188"/>
      <c r="E26" s="188"/>
      <c r="F26" s="2"/>
      <c r="G26" s="188" t="s">
        <v>132</v>
      </c>
      <c r="H26" s="188"/>
      <c r="I26" s="188"/>
      <c r="J26" s="188"/>
      <c r="L26" t="s">
        <v>424</v>
      </c>
      <c r="M26" t="s">
        <v>134</v>
      </c>
      <c r="N26" t="s">
        <v>132</v>
      </c>
    </row>
    <row r="27" spans="3:16" x14ac:dyDescent="0.3">
      <c r="C27" s="2" t="s">
        <v>131</v>
      </c>
      <c r="D27" s="2" t="s">
        <v>130</v>
      </c>
      <c r="E27" s="2" t="s">
        <v>129</v>
      </c>
      <c r="F27" s="2" t="s">
        <v>128</v>
      </c>
      <c r="G27" s="2" t="s">
        <v>131</v>
      </c>
      <c r="H27" s="2" t="s">
        <v>130</v>
      </c>
      <c r="I27" s="2" t="s">
        <v>129</v>
      </c>
      <c r="J27" s="2" t="s">
        <v>128</v>
      </c>
      <c r="L27" t="s">
        <v>129</v>
      </c>
      <c r="M27" s="7">
        <f>SUMPRODUCT(D28:D30,E28:E30)</f>
        <v>35900</v>
      </c>
      <c r="N27" s="7">
        <f>SUMPRODUCT(H28:H30,I28:I30)</f>
        <v>35015</v>
      </c>
    </row>
    <row r="28" spans="3:16" x14ac:dyDescent="0.3">
      <c r="C28" s="2" t="s">
        <v>127</v>
      </c>
      <c r="D28" s="47">
        <v>0.1</v>
      </c>
      <c r="E28" s="48">
        <v>23000</v>
      </c>
      <c r="F28" s="47">
        <v>0.15</v>
      </c>
      <c r="G28" s="2" t="s">
        <v>127</v>
      </c>
      <c r="H28" s="47">
        <v>0.15</v>
      </c>
      <c r="I28" s="48">
        <v>24000</v>
      </c>
      <c r="J28" s="47">
        <v>0.15</v>
      </c>
      <c r="L28" t="s">
        <v>422</v>
      </c>
      <c r="M28" s="88">
        <f>SUMPRODUCT(D28:D30,F28:F30)</f>
        <v>7.4399999999999994E-2</v>
      </c>
      <c r="N28" s="88">
        <f>SUMPRODUCT(H28:H30,J28:J30)</f>
        <v>6.59E-2</v>
      </c>
    </row>
    <row r="29" spans="3:16" x14ac:dyDescent="0.3">
      <c r="C29" s="2" t="s">
        <v>126</v>
      </c>
      <c r="D29" s="47">
        <v>0.48</v>
      </c>
      <c r="E29" s="48">
        <v>35000</v>
      </c>
      <c r="F29" s="47">
        <v>0.08</v>
      </c>
      <c r="G29" s="2" t="s">
        <v>126</v>
      </c>
      <c r="H29" s="47">
        <v>0.47</v>
      </c>
      <c r="I29" s="48">
        <v>34500</v>
      </c>
      <c r="J29" s="47">
        <v>0.06</v>
      </c>
    </row>
    <row r="30" spans="3:16" x14ac:dyDescent="0.3">
      <c r="C30" s="2" t="s">
        <v>125</v>
      </c>
      <c r="D30" s="47">
        <v>0.42</v>
      </c>
      <c r="E30" s="48">
        <v>40000</v>
      </c>
      <c r="F30" s="47">
        <v>0.05</v>
      </c>
      <c r="G30" s="2" t="s">
        <v>125</v>
      </c>
      <c r="H30" s="47">
        <v>0.38</v>
      </c>
      <c r="I30" s="48">
        <v>40000</v>
      </c>
      <c r="J30" s="47">
        <v>0.04</v>
      </c>
    </row>
    <row r="34" spans="3:14" x14ac:dyDescent="0.3">
      <c r="C34" t="s">
        <v>133</v>
      </c>
      <c r="L34" t="s">
        <v>423</v>
      </c>
      <c r="M34" t="s">
        <v>132</v>
      </c>
    </row>
    <row r="35" spans="3:14" x14ac:dyDescent="0.3">
      <c r="C35" s="188" t="s">
        <v>132</v>
      </c>
      <c r="D35" s="188"/>
      <c r="E35" s="188"/>
      <c r="F35" s="188"/>
      <c r="L35" t="s">
        <v>129</v>
      </c>
      <c r="M35" s="7">
        <f>SUMPRODUCT(D37:D39,E37:E39)</f>
        <v>28107.84</v>
      </c>
    </row>
    <row r="36" spans="3:14" x14ac:dyDescent="0.3">
      <c r="C36" s="2" t="s">
        <v>131</v>
      </c>
      <c r="D36" s="2" t="s">
        <v>130</v>
      </c>
      <c r="E36" s="2" t="s">
        <v>129</v>
      </c>
      <c r="F36" s="2" t="s">
        <v>128</v>
      </c>
      <c r="L36" t="s">
        <v>422</v>
      </c>
      <c r="M36" s="88">
        <f>SUMPRODUCT(D37:D39,F37:F39)</f>
        <v>0.13800000000000001</v>
      </c>
    </row>
    <row r="37" spans="3:14" x14ac:dyDescent="0.3">
      <c r="C37" s="2" t="s">
        <v>127</v>
      </c>
      <c r="D37" s="47">
        <v>0.56000000000000005</v>
      </c>
      <c r="E37" s="48">
        <v>22755</v>
      </c>
      <c r="F37" s="47">
        <v>0.2</v>
      </c>
    </row>
    <row r="38" spans="3:14" x14ac:dyDescent="0.3">
      <c r="C38" s="2" t="s">
        <v>126</v>
      </c>
      <c r="D38" s="47">
        <v>0.32</v>
      </c>
      <c r="E38" s="48">
        <v>32931</v>
      </c>
      <c r="F38" s="47">
        <v>7.0000000000000007E-2</v>
      </c>
    </row>
    <row r="39" spans="3:14" x14ac:dyDescent="0.3">
      <c r="C39" s="2" t="s">
        <v>125</v>
      </c>
      <c r="D39" s="47">
        <v>0.12</v>
      </c>
      <c r="E39" s="48">
        <v>40226</v>
      </c>
      <c r="F39" s="47">
        <v>0.03</v>
      </c>
    </row>
    <row r="41" spans="3:14" x14ac:dyDescent="0.3">
      <c r="L41" t="s">
        <v>421</v>
      </c>
      <c r="M41" s="70">
        <f>N27/M27-1</f>
        <v>-2.4651810584958245E-2</v>
      </c>
      <c r="N41" t="b">
        <f>M41&lt;-C16</f>
        <v>1</v>
      </c>
    </row>
    <row r="43" spans="3:14" x14ac:dyDescent="0.3">
      <c r="L43" t="s">
        <v>420</v>
      </c>
      <c r="M43" s="70">
        <f>N27/M35-1</f>
        <v>0.2457378439609732</v>
      </c>
      <c r="N43" t="b">
        <f>M43&lt;C17</f>
        <v>0</v>
      </c>
    </row>
    <row r="45" spans="3:14" x14ac:dyDescent="0.3">
      <c r="L45" t="s">
        <v>419</v>
      </c>
      <c r="M45" s="70">
        <f>N28</f>
        <v>6.59E-2</v>
      </c>
      <c r="N45" t="b">
        <f>M45&lt;C18</f>
        <v>1</v>
      </c>
    </row>
  </sheetData>
  <mergeCells count="6">
    <mergeCell ref="C35:F35"/>
    <mergeCell ref="C10:F10"/>
    <mergeCell ref="C22:J22"/>
    <mergeCell ref="L22:P22"/>
    <mergeCell ref="C26:E26"/>
    <mergeCell ref="G26:J26"/>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A277F-9EF1-4E60-BEB0-E00F27E1FCD1}">
  <sheetPr>
    <tabColor theme="5" tint="0.39997558519241921"/>
  </sheetPr>
  <dimension ref="A1:R63"/>
  <sheetViews>
    <sheetView workbookViewId="0">
      <selection activeCell="K41" sqref="K41"/>
    </sheetView>
  </sheetViews>
  <sheetFormatPr defaultRowHeight="14.4" x14ac:dyDescent="0.3"/>
  <cols>
    <col min="3" max="3" width="20.33203125" customWidth="1"/>
    <col min="4" max="10" width="12.109375" customWidth="1"/>
    <col min="15" max="15" width="10.33203125" bestFit="1" customWidth="1"/>
    <col min="18" max="18" width="11.6640625" customWidth="1"/>
  </cols>
  <sheetData>
    <row r="1" spans="1:8" ht="15" thickBot="1" x14ac:dyDescent="0.35">
      <c r="A1" t="s">
        <v>179</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D12" t="s">
        <v>178</v>
      </c>
    </row>
    <row r="13" spans="1:8" x14ac:dyDescent="0.3">
      <c r="D13" t="s">
        <v>177</v>
      </c>
    </row>
    <row r="14" spans="1:8" x14ac:dyDescent="0.3">
      <c r="D14" t="s">
        <v>176</v>
      </c>
    </row>
    <row r="15" spans="1:8" x14ac:dyDescent="0.3">
      <c r="D15" t="s">
        <v>175</v>
      </c>
    </row>
    <row r="16" spans="1:8" x14ac:dyDescent="0.3">
      <c r="D16" t="s">
        <v>174</v>
      </c>
    </row>
    <row r="21" spans="3:18" ht="15" thickBot="1" x14ac:dyDescent="0.35"/>
    <row r="22" spans="3:18" ht="15" thickBot="1" x14ac:dyDescent="0.35">
      <c r="C22" s="182" t="s">
        <v>10</v>
      </c>
      <c r="D22" s="183"/>
      <c r="E22" s="183"/>
      <c r="F22" s="183"/>
      <c r="G22" s="184"/>
      <c r="L22" s="182" t="s">
        <v>9</v>
      </c>
      <c r="M22" s="183"/>
      <c r="N22" s="183"/>
      <c r="O22" s="183"/>
      <c r="P22" s="183"/>
      <c r="Q22" s="183"/>
      <c r="R22" s="184"/>
    </row>
    <row r="25" spans="3:18" x14ac:dyDescent="0.3">
      <c r="C25" s="2"/>
      <c r="D25" s="188" t="s">
        <v>173</v>
      </c>
      <c r="E25" s="188"/>
      <c r="F25" s="188" t="s">
        <v>172</v>
      </c>
      <c r="G25" s="188"/>
    </row>
    <row r="26" spans="3:18" ht="43.2" x14ac:dyDescent="0.3">
      <c r="C26" s="2" t="s">
        <v>105</v>
      </c>
      <c r="D26" s="53" t="s">
        <v>171</v>
      </c>
      <c r="E26" s="53" t="s">
        <v>169</v>
      </c>
      <c r="F26" s="53" t="s">
        <v>170</v>
      </c>
      <c r="G26" s="53" t="s">
        <v>169</v>
      </c>
    </row>
    <row r="27" spans="3:18" x14ac:dyDescent="0.3">
      <c r="C27" s="2" t="s">
        <v>161</v>
      </c>
      <c r="D27" s="52">
        <v>10.199999999999999</v>
      </c>
      <c r="E27" s="52">
        <v>360</v>
      </c>
      <c r="F27" s="52">
        <v>9.3000000000000007</v>
      </c>
      <c r="G27" s="52">
        <v>80</v>
      </c>
    </row>
    <row r="28" spans="3:18" x14ac:dyDescent="0.3">
      <c r="C28" s="2" t="s">
        <v>160</v>
      </c>
      <c r="D28" s="52">
        <v>7</v>
      </c>
      <c r="E28" s="52">
        <v>240</v>
      </c>
      <c r="F28" s="52">
        <v>6.4</v>
      </c>
      <c r="G28" s="52">
        <v>70</v>
      </c>
    </row>
    <row r="29" spans="3:18" x14ac:dyDescent="0.3">
      <c r="C29" s="2" t="s">
        <v>159</v>
      </c>
      <c r="D29" s="52">
        <v>5</v>
      </c>
      <c r="E29" s="52">
        <v>180</v>
      </c>
      <c r="F29" s="52">
        <v>6.3</v>
      </c>
      <c r="G29" s="52">
        <v>50</v>
      </c>
    </row>
    <row r="30" spans="3:18" x14ac:dyDescent="0.3">
      <c r="C30" s="2" t="s">
        <v>158</v>
      </c>
      <c r="D30" s="52">
        <v>5</v>
      </c>
      <c r="E30" s="52">
        <v>180</v>
      </c>
      <c r="F30" s="52">
        <v>6.9</v>
      </c>
      <c r="G30" s="52">
        <v>30</v>
      </c>
    </row>
    <row r="31" spans="3:18" x14ac:dyDescent="0.3">
      <c r="C31" s="2" t="s">
        <v>148</v>
      </c>
      <c r="D31" s="52">
        <v>2.1</v>
      </c>
      <c r="E31" s="52">
        <v>600</v>
      </c>
      <c r="F31" s="52">
        <v>2.7</v>
      </c>
      <c r="G31" s="52">
        <v>220</v>
      </c>
    </row>
    <row r="32" spans="3:18" x14ac:dyDescent="0.3">
      <c r="C32" s="2" t="s">
        <v>168</v>
      </c>
      <c r="D32" s="52">
        <v>3.5</v>
      </c>
      <c r="E32" s="52">
        <v>450</v>
      </c>
      <c r="F32" s="52">
        <v>5.5</v>
      </c>
      <c r="G32" s="52">
        <v>160</v>
      </c>
    </row>
    <row r="35" spans="3:7" x14ac:dyDescent="0.3">
      <c r="C35" s="51" t="s">
        <v>167</v>
      </c>
    </row>
    <row r="37" spans="3:7" x14ac:dyDescent="0.3">
      <c r="C37" s="189" t="s">
        <v>166</v>
      </c>
      <c r="D37" s="189"/>
      <c r="E37" s="189"/>
      <c r="F37" s="189"/>
      <c r="G37" s="189"/>
    </row>
    <row r="38" spans="3:7" x14ac:dyDescent="0.3">
      <c r="C38" s="189"/>
      <c r="D38" s="189"/>
      <c r="E38" s="189"/>
      <c r="F38" s="189"/>
      <c r="G38" s="189"/>
    </row>
    <row r="39" spans="3:7" x14ac:dyDescent="0.3">
      <c r="C39" s="189"/>
      <c r="D39" s="189"/>
      <c r="E39" s="189"/>
      <c r="F39" s="189"/>
      <c r="G39" s="189"/>
    </row>
    <row r="40" spans="3:7" x14ac:dyDescent="0.3">
      <c r="C40" s="189"/>
      <c r="D40" s="189"/>
      <c r="E40" s="189"/>
      <c r="F40" s="189"/>
      <c r="G40" s="189"/>
    </row>
    <row r="41" spans="3:7" x14ac:dyDescent="0.3">
      <c r="C41" s="189"/>
      <c r="D41" s="189"/>
      <c r="E41" s="189"/>
      <c r="F41" s="189"/>
      <c r="G41" s="189"/>
    </row>
    <row r="42" spans="3:7" x14ac:dyDescent="0.3">
      <c r="C42" s="189"/>
      <c r="D42" s="189"/>
      <c r="E42" s="189"/>
      <c r="F42" s="189"/>
      <c r="G42" s="189"/>
    </row>
    <row r="44" spans="3:7" x14ac:dyDescent="0.3">
      <c r="C44" t="s">
        <v>152</v>
      </c>
    </row>
    <row r="46" spans="3:7" x14ac:dyDescent="0.3">
      <c r="C46" s="2" t="s">
        <v>156</v>
      </c>
      <c r="D46" s="1" t="s">
        <v>155</v>
      </c>
      <c r="E46" s="1" t="s">
        <v>154</v>
      </c>
      <c r="F46" s="1" t="s">
        <v>153</v>
      </c>
    </row>
    <row r="47" spans="3:7" x14ac:dyDescent="0.3">
      <c r="C47" s="2" t="s">
        <v>165</v>
      </c>
      <c r="D47" s="188" t="s">
        <v>164</v>
      </c>
      <c r="E47" s="188"/>
      <c r="F47" s="188"/>
    </row>
    <row r="48" spans="3:7" x14ac:dyDescent="0.3">
      <c r="C48" s="2" t="s">
        <v>163</v>
      </c>
      <c r="D48" s="50">
        <v>5000</v>
      </c>
      <c r="E48" s="50">
        <v>5250</v>
      </c>
      <c r="F48" s="50">
        <v>5600</v>
      </c>
    </row>
    <row r="49" spans="3:10" x14ac:dyDescent="0.3">
      <c r="C49" s="2" t="s">
        <v>162</v>
      </c>
      <c r="D49" s="50">
        <v>6000</v>
      </c>
      <c r="E49" s="50">
        <v>6360</v>
      </c>
      <c r="F49" s="50">
        <v>6650</v>
      </c>
    </row>
    <row r="50" spans="3:10" x14ac:dyDescent="0.3">
      <c r="C50" s="2" t="s">
        <v>161</v>
      </c>
      <c r="D50" s="50">
        <v>1000</v>
      </c>
      <c r="E50" s="50">
        <v>1100</v>
      </c>
      <c r="F50" s="50">
        <v>1150</v>
      </c>
    </row>
    <row r="51" spans="3:10" x14ac:dyDescent="0.3">
      <c r="C51" s="2" t="s">
        <v>160</v>
      </c>
      <c r="D51" s="50">
        <v>3000</v>
      </c>
      <c r="E51" s="50">
        <v>3100</v>
      </c>
      <c r="F51" s="50">
        <v>3200</v>
      </c>
    </row>
    <row r="52" spans="3:10" x14ac:dyDescent="0.3">
      <c r="C52" s="2" t="s">
        <v>159</v>
      </c>
      <c r="D52" s="50">
        <v>5000</v>
      </c>
      <c r="E52" s="50">
        <v>5000</v>
      </c>
      <c r="F52" s="50">
        <v>5000</v>
      </c>
    </row>
    <row r="53" spans="3:10" x14ac:dyDescent="0.3">
      <c r="C53" s="2" t="s">
        <v>158</v>
      </c>
      <c r="D53" s="50">
        <v>6000</v>
      </c>
      <c r="E53" s="50">
        <v>6150</v>
      </c>
      <c r="F53" s="50">
        <v>6200</v>
      </c>
    </row>
    <row r="55" spans="3:10" x14ac:dyDescent="0.3">
      <c r="C55" t="s">
        <v>157</v>
      </c>
    </row>
    <row r="57" spans="3:10" x14ac:dyDescent="0.3">
      <c r="C57" s="2" t="s">
        <v>156</v>
      </c>
      <c r="D57" s="2"/>
      <c r="E57" s="1" t="s">
        <v>155</v>
      </c>
      <c r="F57" s="1" t="s">
        <v>154</v>
      </c>
      <c r="G57" s="1" t="s">
        <v>153</v>
      </c>
      <c r="H57" s="1" t="s">
        <v>155</v>
      </c>
      <c r="I57" s="1" t="s">
        <v>154</v>
      </c>
      <c r="J57" s="1" t="s">
        <v>153</v>
      </c>
    </row>
    <row r="58" spans="3:10" x14ac:dyDescent="0.3">
      <c r="C58" s="2" t="s">
        <v>152</v>
      </c>
      <c r="D58" s="2" t="s">
        <v>151</v>
      </c>
      <c r="E58" s="188" t="s">
        <v>150</v>
      </c>
      <c r="F58" s="188"/>
      <c r="G58" s="188"/>
      <c r="H58" s="188" t="s">
        <v>149</v>
      </c>
      <c r="I58" s="188"/>
      <c r="J58" s="188"/>
    </row>
    <row r="59" spans="3:10" x14ac:dyDescent="0.3">
      <c r="C59" s="2" t="s">
        <v>148</v>
      </c>
      <c r="D59" s="1">
        <v>3</v>
      </c>
      <c r="E59" s="50">
        <v>8000</v>
      </c>
      <c r="F59" s="50">
        <v>8100</v>
      </c>
      <c r="G59" s="50">
        <v>8300</v>
      </c>
      <c r="H59" s="50">
        <v>2600</v>
      </c>
      <c r="I59" s="50">
        <v>2700</v>
      </c>
      <c r="J59" s="50">
        <v>2800</v>
      </c>
    </row>
    <row r="60" spans="3:10" x14ac:dyDescent="0.3">
      <c r="C60" s="2" t="s">
        <v>147</v>
      </c>
      <c r="D60" s="1">
        <v>5</v>
      </c>
      <c r="E60" s="50">
        <v>12000</v>
      </c>
      <c r="F60" s="50">
        <v>12200</v>
      </c>
      <c r="G60" s="50">
        <v>12400</v>
      </c>
      <c r="H60" s="50">
        <v>2400</v>
      </c>
      <c r="I60" s="50">
        <v>2500</v>
      </c>
      <c r="J60" s="50">
        <v>2500</v>
      </c>
    </row>
    <row r="61" spans="3:10" x14ac:dyDescent="0.3">
      <c r="C61" s="2" t="s">
        <v>146</v>
      </c>
      <c r="D61" s="1">
        <v>10</v>
      </c>
      <c r="E61" s="50">
        <v>60000</v>
      </c>
      <c r="F61" s="50">
        <v>61200</v>
      </c>
      <c r="G61" s="50">
        <v>62350</v>
      </c>
      <c r="H61" s="50">
        <v>6000</v>
      </c>
      <c r="I61" s="50">
        <v>6100</v>
      </c>
      <c r="J61" s="50">
        <v>6200</v>
      </c>
    </row>
    <row r="62" spans="3:10" x14ac:dyDescent="0.3">
      <c r="C62" s="2" t="s">
        <v>145</v>
      </c>
      <c r="D62" s="1">
        <v>4</v>
      </c>
      <c r="E62" s="50">
        <v>24000</v>
      </c>
      <c r="F62" s="50">
        <v>24700</v>
      </c>
      <c r="G62" s="50">
        <v>25700</v>
      </c>
      <c r="H62" s="50">
        <v>6000</v>
      </c>
      <c r="I62" s="50">
        <v>6100</v>
      </c>
      <c r="J62" s="50">
        <v>6200</v>
      </c>
    </row>
    <row r="63" spans="3:10" x14ac:dyDescent="0.3">
      <c r="C63" s="2" t="s">
        <v>144</v>
      </c>
      <c r="D63" s="1" t="s">
        <v>143</v>
      </c>
      <c r="E63" s="50">
        <v>100000</v>
      </c>
      <c r="F63" s="50">
        <v>102500</v>
      </c>
      <c r="G63" s="50">
        <v>107000</v>
      </c>
      <c r="H63" s="1" t="s">
        <v>79</v>
      </c>
      <c r="I63" s="1" t="s">
        <v>79</v>
      </c>
      <c r="J63" s="1" t="s">
        <v>79</v>
      </c>
    </row>
  </sheetData>
  <mergeCells count="9">
    <mergeCell ref="L22:R22"/>
    <mergeCell ref="D25:E25"/>
    <mergeCell ref="F25:G25"/>
    <mergeCell ref="C37:G42"/>
    <mergeCell ref="D47:F47"/>
    <mergeCell ref="E58:G58"/>
    <mergeCell ref="H58:J58"/>
    <mergeCell ref="C10:F10"/>
    <mergeCell ref="C22:G22"/>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E0148-0B55-45DC-972B-30DEA8B2414A}">
  <sheetPr>
    <tabColor theme="9" tint="0.59999389629810485"/>
  </sheetPr>
  <dimension ref="A1:R63"/>
  <sheetViews>
    <sheetView workbookViewId="0">
      <selection activeCell="A3" sqref="A3"/>
    </sheetView>
  </sheetViews>
  <sheetFormatPr defaultRowHeight="14.4" x14ac:dyDescent="0.3"/>
  <cols>
    <col min="3" max="3" width="20.33203125" customWidth="1"/>
    <col min="4" max="10" width="12.109375" customWidth="1"/>
    <col min="15" max="15" width="10.33203125" bestFit="1" customWidth="1"/>
    <col min="18" max="18" width="11.6640625" customWidth="1"/>
  </cols>
  <sheetData>
    <row r="1" spans="1:8" ht="15" thickBot="1" x14ac:dyDescent="0.35">
      <c r="A1" t="s">
        <v>179</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D12" t="s">
        <v>178</v>
      </c>
    </row>
    <row r="13" spans="1:8" x14ac:dyDescent="0.3">
      <c r="D13" t="s">
        <v>177</v>
      </c>
    </row>
    <row r="14" spans="1:8" x14ac:dyDescent="0.3">
      <c r="D14" t="s">
        <v>176</v>
      </c>
    </row>
    <row r="15" spans="1:8" x14ac:dyDescent="0.3">
      <c r="D15" t="s">
        <v>175</v>
      </c>
    </row>
    <row r="16" spans="1:8" x14ac:dyDescent="0.3">
      <c r="D16" t="s">
        <v>174</v>
      </c>
    </row>
    <row r="21" spans="3:18" ht="15" thickBot="1" x14ac:dyDescent="0.35"/>
    <row r="22" spans="3:18" ht="15" thickBot="1" x14ac:dyDescent="0.35">
      <c r="C22" s="182" t="s">
        <v>10</v>
      </c>
      <c r="D22" s="183"/>
      <c r="E22" s="183"/>
      <c r="F22" s="183"/>
      <c r="G22" s="184"/>
      <c r="L22" s="182" t="s">
        <v>9</v>
      </c>
      <c r="M22" s="183"/>
      <c r="N22" s="183"/>
      <c r="O22" s="183"/>
      <c r="P22" s="183"/>
      <c r="Q22" s="183"/>
      <c r="R22" s="184"/>
    </row>
    <row r="25" spans="3:18" x14ac:dyDescent="0.3">
      <c r="C25" s="2"/>
      <c r="D25" s="188" t="s">
        <v>173</v>
      </c>
      <c r="E25" s="188"/>
      <c r="F25" s="188" t="s">
        <v>172</v>
      </c>
      <c r="G25" s="188"/>
      <c r="L25" s="2"/>
      <c r="M25" s="188" t="s">
        <v>173</v>
      </c>
      <c r="N25" s="188"/>
    </row>
    <row r="26" spans="3:18" ht="57.6" x14ac:dyDescent="0.3">
      <c r="C26" s="2" t="s">
        <v>105</v>
      </c>
      <c r="D26" s="53" t="s">
        <v>171</v>
      </c>
      <c r="E26" s="53" t="s">
        <v>169</v>
      </c>
      <c r="F26" s="53" t="s">
        <v>170</v>
      </c>
      <c r="G26" s="53" t="s">
        <v>169</v>
      </c>
      <c r="L26" s="2" t="s">
        <v>105</v>
      </c>
      <c r="M26" s="53" t="s">
        <v>171</v>
      </c>
      <c r="N26" s="53" t="s">
        <v>169</v>
      </c>
      <c r="O26" s="53" t="s">
        <v>428</v>
      </c>
      <c r="P26" s="53" t="s">
        <v>427</v>
      </c>
      <c r="Q26" s="53" t="s">
        <v>426</v>
      </c>
      <c r="R26" s="53" t="s">
        <v>425</v>
      </c>
    </row>
    <row r="27" spans="3:18" x14ac:dyDescent="0.3">
      <c r="C27" s="2" t="s">
        <v>161</v>
      </c>
      <c r="D27" s="52">
        <v>10.199999999999999</v>
      </c>
      <c r="E27" s="52">
        <v>360</v>
      </c>
      <c r="F27" s="52">
        <v>9.3000000000000007</v>
      </c>
      <c r="G27" s="52">
        <v>80</v>
      </c>
      <c r="L27" s="2" t="s">
        <v>161</v>
      </c>
      <c r="M27" s="52">
        <f t="shared" ref="M27:N32" si="0">D27</f>
        <v>10.199999999999999</v>
      </c>
      <c r="N27" s="52">
        <f t="shared" si="0"/>
        <v>360</v>
      </c>
      <c r="O27" s="48">
        <f>D50</f>
        <v>1000</v>
      </c>
      <c r="P27" s="2"/>
      <c r="Q27" s="2"/>
      <c r="R27" s="48">
        <f>O27*M27*N27</f>
        <v>3672000</v>
      </c>
    </row>
    <row r="28" spans="3:18" x14ac:dyDescent="0.3">
      <c r="C28" s="2" t="s">
        <v>160</v>
      </c>
      <c r="D28" s="52">
        <v>7</v>
      </c>
      <c r="E28" s="52">
        <v>240</v>
      </c>
      <c r="F28" s="52">
        <v>6.4</v>
      </c>
      <c r="G28" s="52">
        <v>70</v>
      </c>
      <c r="L28" s="2" t="s">
        <v>160</v>
      </c>
      <c r="M28" s="52">
        <f t="shared" si="0"/>
        <v>7</v>
      </c>
      <c r="N28" s="52">
        <f t="shared" si="0"/>
        <v>240</v>
      </c>
      <c r="O28" s="48">
        <f>D51</f>
        <v>3000</v>
      </c>
      <c r="P28" s="2"/>
      <c r="Q28" s="2"/>
      <c r="R28" s="48">
        <f>O28*M28*N28</f>
        <v>5040000</v>
      </c>
    </row>
    <row r="29" spans="3:18" x14ac:dyDescent="0.3">
      <c r="C29" s="2" t="s">
        <v>159</v>
      </c>
      <c r="D29" s="52">
        <v>5</v>
      </c>
      <c r="E29" s="52">
        <v>180</v>
      </c>
      <c r="F29" s="52">
        <v>6.3</v>
      </c>
      <c r="G29" s="52">
        <v>50</v>
      </c>
      <c r="L29" s="2" t="s">
        <v>159</v>
      </c>
      <c r="M29" s="52">
        <f t="shared" si="0"/>
        <v>5</v>
      </c>
      <c r="N29" s="52">
        <f t="shared" si="0"/>
        <v>180</v>
      </c>
      <c r="O29" s="48">
        <f>D52</f>
        <v>5000</v>
      </c>
      <c r="P29" s="2"/>
      <c r="Q29" s="2"/>
      <c r="R29" s="48">
        <f>O29*M29*N29</f>
        <v>4500000</v>
      </c>
    </row>
    <row r="30" spans="3:18" x14ac:dyDescent="0.3">
      <c r="C30" s="2" t="s">
        <v>158</v>
      </c>
      <c r="D30" s="52">
        <v>5</v>
      </c>
      <c r="E30" s="52">
        <v>180</v>
      </c>
      <c r="F30" s="52">
        <v>6.9</v>
      </c>
      <c r="G30" s="52">
        <v>30</v>
      </c>
      <c r="L30" s="2" t="s">
        <v>158</v>
      </c>
      <c r="M30" s="52">
        <f t="shared" si="0"/>
        <v>5</v>
      </c>
      <c r="N30" s="52">
        <f t="shared" si="0"/>
        <v>180</v>
      </c>
      <c r="O30" s="48">
        <f>D53</f>
        <v>6000</v>
      </c>
      <c r="P30" s="2"/>
      <c r="Q30" s="2"/>
      <c r="R30" s="48">
        <f>O30*M30*N30</f>
        <v>5400000</v>
      </c>
    </row>
    <row r="31" spans="3:18" x14ac:dyDescent="0.3">
      <c r="C31" s="2" t="s">
        <v>148</v>
      </c>
      <c r="D31" s="52">
        <v>2.1</v>
      </c>
      <c r="E31" s="52">
        <v>600</v>
      </c>
      <c r="F31" s="52">
        <v>2.7</v>
      </c>
      <c r="G31" s="52">
        <v>220</v>
      </c>
      <c r="L31" s="2" t="s">
        <v>148</v>
      </c>
      <c r="M31" s="52">
        <f t="shared" si="0"/>
        <v>2.1</v>
      </c>
      <c r="N31" s="52">
        <f t="shared" si="0"/>
        <v>600</v>
      </c>
      <c r="O31" s="2"/>
      <c r="P31" s="48">
        <f>E59</f>
        <v>8000</v>
      </c>
      <c r="Q31" s="48">
        <f>MAX(D31-D59,0)*H59</f>
        <v>0</v>
      </c>
      <c r="R31" s="48">
        <f>N31*(P31+Q31)</f>
        <v>4800000</v>
      </c>
    </row>
    <row r="32" spans="3:18" x14ac:dyDescent="0.3">
      <c r="C32" s="2" t="s">
        <v>168</v>
      </c>
      <c r="D32" s="52">
        <v>3.5</v>
      </c>
      <c r="E32" s="52">
        <v>450</v>
      </c>
      <c r="F32" s="52">
        <v>5.5</v>
      </c>
      <c r="G32" s="52">
        <v>160</v>
      </c>
      <c r="L32" s="2" t="s">
        <v>168</v>
      </c>
      <c r="M32" s="52">
        <f t="shared" si="0"/>
        <v>3.5</v>
      </c>
      <c r="N32" s="52">
        <f t="shared" si="0"/>
        <v>450</v>
      </c>
      <c r="O32" s="2"/>
      <c r="P32" s="48">
        <f>E60</f>
        <v>12000</v>
      </c>
      <c r="Q32" s="48">
        <f>MAX(D32-D60,0)*H60</f>
        <v>0</v>
      </c>
      <c r="R32" s="48">
        <f>N32*(P32+Q32)</f>
        <v>5400000</v>
      </c>
    </row>
    <row r="33" spans="3:18" x14ac:dyDescent="0.3">
      <c r="R33" s="89">
        <f>SUM(R27:R32)</f>
        <v>28812000</v>
      </c>
    </row>
    <row r="35" spans="3:18" x14ac:dyDescent="0.3">
      <c r="C35" s="51" t="s">
        <v>167</v>
      </c>
      <c r="L35" s="2"/>
      <c r="M35" s="188" t="s">
        <v>172</v>
      </c>
      <c r="N35" s="188"/>
    </row>
    <row r="36" spans="3:18" ht="57.6" x14ac:dyDescent="0.3">
      <c r="L36" s="2" t="s">
        <v>105</v>
      </c>
      <c r="M36" s="53" t="s">
        <v>171</v>
      </c>
      <c r="N36" s="53" t="s">
        <v>169</v>
      </c>
      <c r="O36" s="53" t="s">
        <v>428</v>
      </c>
      <c r="P36" s="53" t="s">
        <v>427</v>
      </c>
      <c r="Q36" s="53" t="s">
        <v>426</v>
      </c>
      <c r="R36" s="53" t="s">
        <v>425</v>
      </c>
    </row>
    <row r="37" spans="3:18" x14ac:dyDescent="0.3">
      <c r="C37" s="189" t="s">
        <v>166</v>
      </c>
      <c r="D37" s="189"/>
      <c r="E37" s="189"/>
      <c r="F37" s="189"/>
      <c r="G37" s="189"/>
      <c r="L37" s="2" t="s">
        <v>161</v>
      </c>
      <c r="M37" s="52">
        <f t="shared" ref="M37:N42" si="1">F27</f>
        <v>9.3000000000000007</v>
      </c>
      <c r="N37" s="52">
        <f t="shared" si="1"/>
        <v>80</v>
      </c>
      <c r="O37" s="48">
        <f>D50</f>
        <v>1000</v>
      </c>
      <c r="P37" s="2"/>
      <c r="Q37" s="2"/>
      <c r="R37" s="48">
        <f>O37*M37*N37</f>
        <v>744000</v>
      </c>
    </row>
    <row r="38" spans="3:18" x14ac:dyDescent="0.3">
      <c r="C38" s="189"/>
      <c r="D38" s="189"/>
      <c r="E38" s="189"/>
      <c r="F38" s="189"/>
      <c r="G38" s="189"/>
      <c r="L38" s="2" t="s">
        <v>160</v>
      </c>
      <c r="M38" s="52">
        <f t="shared" si="1"/>
        <v>6.4</v>
      </c>
      <c r="N38" s="52">
        <f t="shared" si="1"/>
        <v>70</v>
      </c>
      <c r="O38" s="48">
        <f>D51</f>
        <v>3000</v>
      </c>
      <c r="P38" s="2"/>
      <c r="Q38" s="2"/>
      <c r="R38" s="48">
        <f>O38*M38*N38</f>
        <v>1344000</v>
      </c>
    </row>
    <row r="39" spans="3:18" x14ac:dyDescent="0.3">
      <c r="C39" s="189"/>
      <c r="D39" s="189"/>
      <c r="E39" s="189"/>
      <c r="F39" s="189"/>
      <c r="G39" s="189"/>
      <c r="L39" s="2" t="s">
        <v>159</v>
      </c>
      <c r="M39" s="52">
        <f t="shared" si="1"/>
        <v>6.3</v>
      </c>
      <c r="N39" s="52">
        <f t="shared" si="1"/>
        <v>50</v>
      </c>
      <c r="O39" s="48">
        <f>D52</f>
        <v>5000</v>
      </c>
      <c r="P39" s="2"/>
      <c r="Q39" s="2"/>
      <c r="R39" s="48">
        <f>O39*M39*N39</f>
        <v>1575000</v>
      </c>
    </row>
    <row r="40" spans="3:18" x14ac:dyDescent="0.3">
      <c r="C40" s="189"/>
      <c r="D40" s="189"/>
      <c r="E40" s="189"/>
      <c r="F40" s="189"/>
      <c r="G40" s="189"/>
      <c r="L40" s="2" t="s">
        <v>158</v>
      </c>
      <c r="M40" s="52">
        <f t="shared" si="1"/>
        <v>6.9</v>
      </c>
      <c r="N40" s="52">
        <f t="shared" si="1"/>
        <v>30</v>
      </c>
      <c r="O40" s="48">
        <f>D53</f>
        <v>6000</v>
      </c>
      <c r="P40" s="2"/>
      <c r="Q40" s="2"/>
      <c r="R40" s="48">
        <f>O40*M40*N40</f>
        <v>1242000</v>
      </c>
    </row>
    <row r="41" spans="3:18" x14ac:dyDescent="0.3">
      <c r="C41" s="189"/>
      <c r="D41" s="189"/>
      <c r="E41" s="189"/>
      <c r="F41" s="189"/>
      <c r="G41" s="189"/>
      <c r="L41" s="2" t="s">
        <v>148</v>
      </c>
      <c r="M41" s="52">
        <f t="shared" si="1"/>
        <v>2.7</v>
      </c>
      <c r="N41" s="52">
        <f t="shared" si="1"/>
        <v>220</v>
      </c>
      <c r="O41" s="2"/>
      <c r="P41" s="48">
        <f>E59</f>
        <v>8000</v>
      </c>
      <c r="Q41" s="48">
        <f>MAX(F31-D59,0)*H59</f>
        <v>0</v>
      </c>
      <c r="R41" s="48">
        <f>N41*(P41+Q41)</f>
        <v>1760000</v>
      </c>
    </row>
    <row r="42" spans="3:18" x14ac:dyDescent="0.3">
      <c r="C42" s="189"/>
      <c r="D42" s="189"/>
      <c r="E42" s="189"/>
      <c r="F42" s="189"/>
      <c r="G42" s="189"/>
      <c r="L42" s="2" t="s">
        <v>168</v>
      </c>
      <c r="M42" s="52">
        <f t="shared" si="1"/>
        <v>5.5</v>
      </c>
      <c r="N42" s="52">
        <f t="shared" si="1"/>
        <v>160</v>
      </c>
      <c r="O42" s="2"/>
      <c r="P42" s="48">
        <f>E60</f>
        <v>12000</v>
      </c>
      <c r="Q42" s="48">
        <f>MAX(F32-D60,0)*H60</f>
        <v>1200</v>
      </c>
      <c r="R42" s="48">
        <f>N42*(P42+Q42)</f>
        <v>2112000</v>
      </c>
    </row>
    <row r="43" spans="3:18" x14ac:dyDescent="0.3">
      <c r="R43" s="89">
        <f>SUM(R37:R42)</f>
        <v>8777000</v>
      </c>
    </row>
    <row r="44" spans="3:18" x14ac:dyDescent="0.3">
      <c r="C44" t="s">
        <v>152</v>
      </c>
    </row>
    <row r="46" spans="3:18" x14ac:dyDescent="0.3">
      <c r="C46" s="2" t="s">
        <v>156</v>
      </c>
      <c r="D46" s="1" t="s">
        <v>155</v>
      </c>
      <c r="E46" s="1" t="s">
        <v>154</v>
      </c>
      <c r="F46" s="1" t="s">
        <v>153</v>
      </c>
    </row>
    <row r="47" spans="3:18" x14ac:dyDescent="0.3">
      <c r="C47" s="2" t="s">
        <v>165</v>
      </c>
      <c r="D47" s="188" t="s">
        <v>164</v>
      </c>
      <c r="E47" s="188"/>
      <c r="F47" s="188"/>
    </row>
    <row r="48" spans="3:18" x14ac:dyDescent="0.3">
      <c r="C48" s="2" t="s">
        <v>163</v>
      </c>
      <c r="D48" s="50">
        <v>5000</v>
      </c>
      <c r="E48" s="50">
        <v>5250</v>
      </c>
      <c r="F48" s="50">
        <v>5600</v>
      </c>
    </row>
    <row r="49" spans="3:10" x14ac:dyDescent="0.3">
      <c r="C49" s="2" t="s">
        <v>162</v>
      </c>
      <c r="D49" s="50">
        <v>6000</v>
      </c>
      <c r="E49" s="50">
        <v>6360</v>
      </c>
      <c r="F49" s="50">
        <v>6650</v>
      </c>
    </row>
    <row r="50" spans="3:10" x14ac:dyDescent="0.3">
      <c r="C50" s="2" t="s">
        <v>161</v>
      </c>
      <c r="D50" s="50">
        <v>1000</v>
      </c>
      <c r="E50" s="50">
        <v>1100</v>
      </c>
      <c r="F50" s="50">
        <v>1150</v>
      </c>
    </row>
    <row r="51" spans="3:10" x14ac:dyDescent="0.3">
      <c r="C51" s="2" t="s">
        <v>160</v>
      </c>
      <c r="D51" s="50">
        <v>3000</v>
      </c>
      <c r="E51" s="50">
        <v>3100</v>
      </c>
      <c r="F51" s="50">
        <v>3200</v>
      </c>
    </row>
    <row r="52" spans="3:10" x14ac:dyDescent="0.3">
      <c r="C52" s="2" t="s">
        <v>159</v>
      </c>
      <c r="D52" s="50">
        <v>5000</v>
      </c>
      <c r="E52" s="50">
        <v>5000</v>
      </c>
      <c r="F52" s="50">
        <v>5000</v>
      </c>
    </row>
    <row r="53" spans="3:10" x14ac:dyDescent="0.3">
      <c r="C53" s="2" t="s">
        <v>158</v>
      </c>
      <c r="D53" s="50">
        <v>6000</v>
      </c>
      <c r="E53" s="50">
        <v>6150</v>
      </c>
      <c r="F53" s="50">
        <v>6200</v>
      </c>
    </row>
    <row r="55" spans="3:10" x14ac:dyDescent="0.3">
      <c r="C55" t="s">
        <v>157</v>
      </c>
    </row>
    <row r="57" spans="3:10" x14ac:dyDescent="0.3">
      <c r="C57" s="2" t="s">
        <v>156</v>
      </c>
      <c r="D57" s="2"/>
      <c r="E57" s="1" t="s">
        <v>155</v>
      </c>
      <c r="F57" s="1" t="s">
        <v>154</v>
      </c>
      <c r="G57" s="1" t="s">
        <v>153</v>
      </c>
      <c r="H57" s="1" t="s">
        <v>155</v>
      </c>
      <c r="I57" s="1" t="s">
        <v>154</v>
      </c>
      <c r="J57" s="1" t="s">
        <v>153</v>
      </c>
    </row>
    <row r="58" spans="3:10" x14ac:dyDescent="0.3">
      <c r="C58" s="2" t="s">
        <v>152</v>
      </c>
      <c r="D58" s="2" t="s">
        <v>151</v>
      </c>
      <c r="E58" s="188" t="s">
        <v>150</v>
      </c>
      <c r="F58" s="188"/>
      <c r="G58" s="188"/>
      <c r="H58" s="188" t="s">
        <v>149</v>
      </c>
      <c r="I58" s="188"/>
      <c r="J58" s="188"/>
    </row>
    <row r="59" spans="3:10" x14ac:dyDescent="0.3">
      <c r="C59" s="2" t="s">
        <v>148</v>
      </c>
      <c r="D59" s="1">
        <v>3</v>
      </c>
      <c r="E59" s="50">
        <v>8000</v>
      </c>
      <c r="F59" s="50">
        <v>8100</v>
      </c>
      <c r="G59" s="50">
        <v>8300</v>
      </c>
      <c r="H59" s="50">
        <v>2600</v>
      </c>
      <c r="I59" s="50">
        <v>2700</v>
      </c>
      <c r="J59" s="50">
        <v>2800</v>
      </c>
    </row>
    <row r="60" spans="3:10" x14ac:dyDescent="0.3">
      <c r="C60" s="2" t="s">
        <v>147</v>
      </c>
      <c r="D60" s="1">
        <v>5</v>
      </c>
      <c r="E60" s="50">
        <v>12000</v>
      </c>
      <c r="F60" s="50">
        <v>12200</v>
      </c>
      <c r="G60" s="50">
        <v>12400</v>
      </c>
      <c r="H60" s="50">
        <v>2400</v>
      </c>
      <c r="I60" s="50">
        <v>2500</v>
      </c>
      <c r="J60" s="50">
        <v>2500</v>
      </c>
    </row>
    <row r="61" spans="3:10" x14ac:dyDescent="0.3">
      <c r="C61" s="2" t="s">
        <v>146</v>
      </c>
      <c r="D61" s="1">
        <v>10</v>
      </c>
      <c r="E61" s="50">
        <v>60000</v>
      </c>
      <c r="F61" s="50">
        <v>61200</v>
      </c>
      <c r="G61" s="50">
        <v>62350</v>
      </c>
      <c r="H61" s="50">
        <v>6000</v>
      </c>
      <c r="I61" s="50">
        <v>6100</v>
      </c>
      <c r="J61" s="50">
        <v>6200</v>
      </c>
    </row>
    <row r="62" spans="3:10" x14ac:dyDescent="0.3">
      <c r="C62" s="2" t="s">
        <v>145</v>
      </c>
      <c r="D62" s="1">
        <v>4</v>
      </c>
      <c r="E62" s="50">
        <v>24000</v>
      </c>
      <c r="F62" s="50">
        <v>24700</v>
      </c>
      <c r="G62" s="50">
        <v>25700</v>
      </c>
      <c r="H62" s="50">
        <v>6000</v>
      </c>
      <c r="I62" s="50">
        <v>6100</v>
      </c>
      <c r="J62" s="50">
        <v>6200</v>
      </c>
    </row>
    <row r="63" spans="3:10" x14ac:dyDescent="0.3">
      <c r="C63" s="2" t="s">
        <v>144</v>
      </c>
      <c r="D63" s="1" t="s">
        <v>143</v>
      </c>
      <c r="E63" s="50">
        <v>100000</v>
      </c>
      <c r="F63" s="50">
        <v>102500</v>
      </c>
      <c r="G63" s="50">
        <v>107000</v>
      </c>
      <c r="H63" s="1" t="s">
        <v>79</v>
      </c>
      <c r="I63" s="1" t="s">
        <v>79</v>
      </c>
      <c r="J63" s="1" t="s">
        <v>79</v>
      </c>
    </row>
  </sheetData>
  <mergeCells count="11">
    <mergeCell ref="M35:N35"/>
    <mergeCell ref="C37:G42"/>
    <mergeCell ref="D47:F47"/>
    <mergeCell ref="E58:G58"/>
    <mergeCell ref="H58:J58"/>
    <mergeCell ref="C10:F10"/>
    <mergeCell ref="C22:G22"/>
    <mergeCell ref="L22:R22"/>
    <mergeCell ref="D25:E25"/>
    <mergeCell ref="F25:G25"/>
    <mergeCell ref="M25:N25"/>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58170-EBDC-4855-86DD-54DFC80E5BBB}">
  <sheetPr>
    <tabColor theme="5" tint="0.39997558519241921"/>
  </sheetPr>
  <dimension ref="A1:M42"/>
  <sheetViews>
    <sheetView workbookViewId="0">
      <selection activeCell="K41" sqref="K41"/>
    </sheetView>
  </sheetViews>
  <sheetFormatPr defaultRowHeight="14.4" x14ac:dyDescent="0.3"/>
  <cols>
    <col min="3" max="7" width="12.109375" customWidth="1"/>
    <col min="9" max="13" width="13.33203125" customWidth="1"/>
  </cols>
  <sheetData>
    <row r="1" spans="1:13" ht="15" thickBot="1" x14ac:dyDescent="0.35">
      <c r="A1" t="s">
        <v>210</v>
      </c>
      <c r="G1" s="25" t="s">
        <v>40</v>
      </c>
      <c r="H1" s="24"/>
    </row>
    <row r="2" spans="1:13" x14ac:dyDescent="0.3">
      <c r="G2" s="23" t="s">
        <v>39</v>
      </c>
      <c r="H2" s="23"/>
    </row>
    <row r="3" spans="1:13" ht="15" thickBot="1" x14ac:dyDescent="0.35">
      <c r="G3" s="22" t="s">
        <v>38</v>
      </c>
      <c r="H3" s="22"/>
    </row>
    <row r="4" spans="1:13" ht="15.6" thickTop="1" thickBot="1" x14ac:dyDescent="0.35">
      <c r="G4" s="21" t="s">
        <v>37</v>
      </c>
      <c r="H4" s="21"/>
    </row>
    <row r="5" spans="1:13" ht="15" thickTop="1" x14ac:dyDescent="0.3">
      <c r="G5" s="20" t="s">
        <v>36</v>
      </c>
      <c r="H5" s="19"/>
    </row>
    <row r="9" spans="1:13" ht="15" thickBot="1" x14ac:dyDescent="0.35"/>
    <row r="10" spans="1:13" ht="15" thickBot="1" x14ac:dyDescent="0.35">
      <c r="C10" s="182" t="s">
        <v>16</v>
      </c>
      <c r="D10" s="183"/>
      <c r="E10" s="183"/>
      <c r="F10" s="184"/>
    </row>
    <row r="12" spans="1:13" ht="15" thickBot="1" x14ac:dyDescent="0.35"/>
    <row r="13" spans="1:13" ht="15" thickBot="1" x14ac:dyDescent="0.35">
      <c r="C13" s="182" t="s">
        <v>10</v>
      </c>
      <c r="D13" s="183"/>
      <c r="E13" s="183"/>
      <c r="F13" s="183"/>
      <c r="G13" s="184"/>
      <c r="I13" s="182" t="s">
        <v>9</v>
      </c>
      <c r="J13" s="183"/>
      <c r="K13" s="183"/>
      <c r="L13" s="183"/>
      <c r="M13" s="184"/>
    </row>
    <row r="16" spans="1:13" ht="28.8" x14ac:dyDescent="0.3">
      <c r="C16" s="53" t="s">
        <v>209</v>
      </c>
      <c r="D16" s="53" t="s">
        <v>208</v>
      </c>
      <c r="E16" s="53" t="s">
        <v>207</v>
      </c>
      <c r="F16" s="53" t="s">
        <v>206</v>
      </c>
      <c r="G16" s="53" t="s">
        <v>205</v>
      </c>
    </row>
    <row r="17" spans="3:7" x14ac:dyDescent="0.3">
      <c r="C17" s="52" t="s">
        <v>70</v>
      </c>
      <c r="D17" s="52">
        <v>4.0999999999999996</v>
      </c>
      <c r="E17" s="54">
        <v>4510</v>
      </c>
      <c r="F17" s="52">
        <v>0.44</v>
      </c>
      <c r="G17" s="52" t="s">
        <v>180</v>
      </c>
    </row>
    <row r="18" spans="3:7" x14ac:dyDescent="0.3">
      <c r="C18" s="52" t="s">
        <v>69</v>
      </c>
      <c r="D18" s="52">
        <v>1.6</v>
      </c>
      <c r="E18" s="54">
        <v>80</v>
      </c>
      <c r="F18" s="52">
        <v>0.7</v>
      </c>
      <c r="G18" s="52" t="s">
        <v>182</v>
      </c>
    </row>
    <row r="19" spans="3:7" x14ac:dyDescent="0.3">
      <c r="C19" s="52" t="s">
        <v>68</v>
      </c>
      <c r="D19" s="52">
        <v>1.5</v>
      </c>
      <c r="E19" s="54">
        <v>3150</v>
      </c>
      <c r="F19" s="52">
        <v>0.8</v>
      </c>
      <c r="G19" s="52" t="s">
        <v>180</v>
      </c>
    </row>
    <row r="20" spans="3:7" x14ac:dyDescent="0.3">
      <c r="C20" s="52" t="s">
        <v>204</v>
      </c>
      <c r="D20" s="52">
        <v>0.6</v>
      </c>
      <c r="E20" s="54">
        <v>660</v>
      </c>
      <c r="F20" s="52">
        <v>0.02</v>
      </c>
      <c r="G20" s="52" t="s">
        <v>182</v>
      </c>
    </row>
    <row r="21" spans="3:7" x14ac:dyDescent="0.3">
      <c r="C21" s="52" t="s">
        <v>203</v>
      </c>
      <c r="D21" s="52">
        <v>2.9</v>
      </c>
      <c r="E21" s="54">
        <v>29000</v>
      </c>
      <c r="F21" s="52">
        <v>0.32</v>
      </c>
      <c r="G21" s="52" t="s">
        <v>182</v>
      </c>
    </row>
    <row r="22" spans="3:7" x14ac:dyDescent="0.3">
      <c r="C22" s="52" t="s">
        <v>202</v>
      </c>
      <c r="D22" s="52">
        <v>2.1</v>
      </c>
      <c r="E22" s="54">
        <v>105</v>
      </c>
      <c r="F22" s="52">
        <v>0.89</v>
      </c>
      <c r="G22" s="52" t="s">
        <v>180</v>
      </c>
    </row>
    <row r="23" spans="3:7" x14ac:dyDescent="0.3">
      <c r="C23" s="52" t="s">
        <v>201</v>
      </c>
      <c r="D23" s="52">
        <v>2.1</v>
      </c>
      <c r="E23" s="54">
        <v>4410</v>
      </c>
      <c r="F23" s="52">
        <v>0.5</v>
      </c>
      <c r="G23" s="52" t="s">
        <v>182</v>
      </c>
    </row>
    <row r="24" spans="3:7" x14ac:dyDescent="0.3">
      <c r="C24" s="52" t="s">
        <v>200</v>
      </c>
      <c r="D24" s="52">
        <v>1.4</v>
      </c>
      <c r="E24" s="54">
        <v>2940</v>
      </c>
      <c r="F24" s="52">
        <v>0.26</v>
      </c>
      <c r="G24" s="52" t="s">
        <v>182</v>
      </c>
    </row>
    <row r="25" spans="3:7" x14ac:dyDescent="0.3">
      <c r="C25" s="52" t="s">
        <v>199</v>
      </c>
      <c r="D25" s="52">
        <v>2</v>
      </c>
      <c r="E25" s="54">
        <v>4200</v>
      </c>
      <c r="F25" s="52">
        <v>0.3</v>
      </c>
      <c r="G25" s="52" t="s">
        <v>182</v>
      </c>
    </row>
    <row r="26" spans="3:7" x14ac:dyDescent="0.3">
      <c r="C26" s="52" t="s">
        <v>198</v>
      </c>
      <c r="D26" s="52">
        <v>1.7</v>
      </c>
      <c r="E26" s="54">
        <v>1870</v>
      </c>
      <c r="F26" s="52">
        <v>0.16</v>
      </c>
      <c r="G26" s="52" t="s">
        <v>182</v>
      </c>
    </row>
    <row r="27" spans="3:7" x14ac:dyDescent="0.3">
      <c r="C27" s="52" t="s">
        <v>197</v>
      </c>
      <c r="D27" s="52">
        <v>3.2</v>
      </c>
      <c r="E27" s="54">
        <v>3520</v>
      </c>
      <c r="F27" s="52">
        <v>0.8</v>
      </c>
      <c r="G27" s="52" t="s">
        <v>182</v>
      </c>
    </row>
    <row r="28" spans="3:7" x14ac:dyDescent="0.3">
      <c r="C28" s="52" t="s">
        <v>196</v>
      </c>
      <c r="D28" s="52">
        <v>3.3</v>
      </c>
      <c r="E28" s="54">
        <v>6930</v>
      </c>
      <c r="F28" s="52">
        <v>0.48</v>
      </c>
      <c r="G28" s="52" t="s">
        <v>182</v>
      </c>
    </row>
    <row r="29" spans="3:7" x14ac:dyDescent="0.3">
      <c r="C29" s="52" t="s">
        <v>195</v>
      </c>
      <c r="D29" s="52">
        <v>4.0999999999999996</v>
      </c>
      <c r="E29" s="54">
        <v>4510</v>
      </c>
      <c r="F29" s="52">
        <v>0.06</v>
      </c>
      <c r="G29" s="52" t="s">
        <v>180</v>
      </c>
    </row>
    <row r="30" spans="3:7" x14ac:dyDescent="0.3">
      <c r="C30" s="52" t="s">
        <v>194</v>
      </c>
      <c r="D30" s="52">
        <v>1.9</v>
      </c>
      <c r="E30" s="54">
        <v>5890</v>
      </c>
      <c r="F30" s="52">
        <v>0.76</v>
      </c>
      <c r="G30" s="52" t="s">
        <v>182</v>
      </c>
    </row>
    <row r="31" spans="3:7" x14ac:dyDescent="0.3">
      <c r="C31" s="52" t="s">
        <v>193</v>
      </c>
      <c r="D31" s="52">
        <v>4.4000000000000004</v>
      </c>
      <c r="E31" s="54">
        <v>44000</v>
      </c>
      <c r="F31" s="52">
        <v>0.12</v>
      </c>
      <c r="G31" s="52" t="s">
        <v>182</v>
      </c>
    </row>
    <row r="32" spans="3:7" x14ac:dyDescent="0.3">
      <c r="C32" s="52" t="s">
        <v>192</v>
      </c>
      <c r="D32" s="52">
        <v>1.8</v>
      </c>
      <c r="E32" s="54">
        <v>1980</v>
      </c>
      <c r="F32" s="52">
        <v>0.89</v>
      </c>
      <c r="G32" s="52" t="s">
        <v>180</v>
      </c>
    </row>
    <row r="33" spans="3:7" x14ac:dyDescent="0.3">
      <c r="C33" s="52" t="s">
        <v>191</v>
      </c>
      <c r="D33" s="52">
        <v>0.8</v>
      </c>
      <c r="E33" s="54">
        <v>2480</v>
      </c>
      <c r="F33" s="52">
        <v>0.3</v>
      </c>
      <c r="G33" s="52" t="s">
        <v>182</v>
      </c>
    </row>
    <row r="34" spans="3:7" x14ac:dyDescent="0.3">
      <c r="C34" s="52" t="s">
        <v>190</v>
      </c>
      <c r="D34" s="52">
        <v>2.5</v>
      </c>
      <c r="E34" s="54">
        <v>5250</v>
      </c>
      <c r="F34" s="52">
        <v>0.79</v>
      </c>
      <c r="G34" s="52" t="s">
        <v>182</v>
      </c>
    </row>
    <row r="35" spans="3:7" x14ac:dyDescent="0.3">
      <c r="C35" s="52" t="s">
        <v>189</v>
      </c>
      <c r="D35" s="52">
        <v>4.3</v>
      </c>
      <c r="E35" s="54">
        <v>9030</v>
      </c>
      <c r="F35" s="52">
        <v>0.1</v>
      </c>
      <c r="G35" s="52" t="s">
        <v>182</v>
      </c>
    </row>
    <row r="36" spans="3:7" x14ac:dyDescent="0.3">
      <c r="C36" s="52" t="s">
        <v>188</v>
      </c>
      <c r="D36" s="52">
        <v>3</v>
      </c>
      <c r="E36" s="54">
        <v>6300</v>
      </c>
      <c r="F36" s="52">
        <v>0.97</v>
      </c>
      <c r="G36" s="52" t="s">
        <v>182</v>
      </c>
    </row>
    <row r="37" spans="3:7" x14ac:dyDescent="0.3">
      <c r="C37" s="52" t="s">
        <v>187</v>
      </c>
      <c r="D37" s="52">
        <v>0.8</v>
      </c>
      <c r="E37" s="54">
        <v>1680</v>
      </c>
      <c r="F37" s="52">
        <v>0.28000000000000003</v>
      </c>
      <c r="G37" s="52" t="s">
        <v>182</v>
      </c>
    </row>
    <row r="38" spans="3:7" x14ac:dyDescent="0.3">
      <c r="C38" s="52" t="s">
        <v>186</v>
      </c>
      <c r="D38" s="52">
        <v>4.4000000000000004</v>
      </c>
      <c r="E38" s="54">
        <v>13640</v>
      </c>
      <c r="F38" s="52">
        <v>0.52</v>
      </c>
      <c r="G38" s="52" t="s">
        <v>182</v>
      </c>
    </row>
    <row r="39" spans="3:7" x14ac:dyDescent="0.3">
      <c r="C39" s="52" t="s">
        <v>185</v>
      </c>
      <c r="D39" s="52">
        <v>1.3</v>
      </c>
      <c r="E39" s="54">
        <v>4030</v>
      </c>
      <c r="F39" s="52">
        <v>0.38</v>
      </c>
      <c r="G39" s="52" t="s">
        <v>182</v>
      </c>
    </row>
    <row r="40" spans="3:7" x14ac:dyDescent="0.3">
      <c r="C40" s="52" t="s">
        <v>184</v>
      </c>
      <c r="D40" s="52">
        <v>1.7</v>
      </c>
      <c r="E40" s="54">
        <v>5270</v>
      </c>
      <c r="F40" s="52">
        <v>0.45</v>
      </c>
      <c r="G40" s="52" t="s">
        <v>182</v>
      </c>
    </row>
    <row r="41" spans="3:7" x14ac:dyDescent="0.3">
      <c r="C41" s="52" t="s">
        <v>183</v>
      </c>
      <c r="D41" s="52">
        <v>2.2999999999999998</v>
      </c>
      <c r="E41" s="54">
        <v>23000</v>
      </c>
      <c r="F41" s="52">
        <v>0.02</v>
      </c>
      <c r="G41" s="52" t="s">
        <v>182</v>
      </c>
    </row>
    <row r="42" spans="3:7" x14ac:dyDescent="0.3">
      <c r="C42" s="52" t="s">
        <v>181</v>
      </c>
      <c r="D42" s="52">
        <v>0.3</v>
      </c>
      <c r="E42" s="54">
        <v>330</v>
      </c>
      <c r="F42" s="52">
        <v>0.7</v>
      </c>
      <c r="G42" s="52" t="s">
        <v>180</v>
      </c>
    </row>
  </sheetData>
  <mergeCells count="3">
    <mergeCell ref="C10:F10"/>
    <mergeCell ref="C13:G13"/>
    <mergeCell ref="I13:M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56C71-5853-4FC0-82BF-67829C3C4870}">
  <sheetPr>
    <tabColor theme="9" tint="0.59999389629810485"/>
  </sheetPr>
  <dimension ref="A1:M45"/>
  <sheetViews>
    <sheetView workbookViewId="0">
      <selection activeCell="A3" sqref="A3"/>
    </sheetView>
  </sheetViews>
  <sheetFormatPr defaultRowHeight="14.4" x14ac:dyDescent="0.3"/>
  <cols>
    <col min="3" max="7" width="12.109375" customWidth="1"/>
    <col min="9" max="13" width="13.33203125" customWidth="1"/>
  </cols>
  <sheetData>
    <row r="1" spans="1:13" ht="15" thickBot="1" x14ac:dyDescent="0.35">
      <c r="A1" t="s">
        <v>210</v>
      </c>
      <c r="G1" s="25" t="s">
        <v>40</v>
      </c>
      <c r="H1" s="24"/>
    </row>
    <row r="2" spans="1:13" x14ac:dyDescent="0.3">
      <c r="G2" s="23" t="s">
        <v>39</v>
      </c>
      <c r="H2" s="23"/>
    </row>
    <row r="3" spans="1:13" ht="15" thickBot="1" x14ac:dyDescent="0.35">
      <c r="G3" s="22" t="s">
        <v>38</v>
      </c>
      <c r="H3" s="22"/>
    </row>
    <row r="4" spans="1:13" ht="15.6" thickTop="1" thickBot="1" x14ac:dyDescent="0.35">
      <c r="G4" s="21" t="s">
        <v>37</v>
      </c>
      <c r="H4" s="21"/>
    </row>
    <row r="5" spans="1:13" ht="15" thickTop="1" x14ac:dyDescent="0.3">
      <c r="G5" s="20" t="s">
        <v>36</v>
      </c>
      <c r="H5" s="19"/>
    </row>
    <row r="9" spans="1:13" ht="15" thickBot="1" x14ac:dyDescent="0.35"/>
    <row r="10" spans="1:13" ht="15" thickBot="1" x14ac:dyDescent="0.35">
      <c r="C10" s="182" t="s">
        <v>16</v>
      </c>
      <c r="D10" s="183"/>
      <c r="E10" s="183"/>
      <c r="F10" s="184"/>
    </row>
    <row r="12" spans="1:13" ht="15" thickBot="1" x14ac:dyDescent="0.35"/>
    <row r="13" spans="1:13" ht="15" thickBot="1" x14ac:dyDescent="0.35">
      <c r="C13" s="182" t="s">
        <v>10</v>
      </c>
      <c r="D13" s="183"/>
      <c r="E13" s="183"/>
      <c r="F13" s="183"/>
      <c r="G13" s="184"/>
      <c r="I13" s="182" t="s">
        <v>9</v>
      </c>
      <c r="J13" s="183"/>
      <c r="K13" s="183"/>
      <c r="L13" s="183"/>
      <c r="M13" s="184"/>
    </row>
    <row r="16" spans="1:13" ht="43.2" x14ac:dyDescent="0.3">
      <c r="C16" s="53" t="s">
        <v>209</v>
      </c>
      <c r="D16" s="53" t="s">
        <v>208</v>
      </c>
      <c r="E16" s="53" t="s">
        <v>207</v>
      </c>
      <c r="F16" s="53" t="s">
        <v>206</v>
      </c>
      <c r="G16" s="53" t="s">
        <v>205</v>
      </c>
      <c r="I16" s="53" t="s">
        <v>209</v>
      </c>
      <c r="J16" s="53" t="s">
        <v>438</v>
      </c>
      <c r="K16" s="53" t="s">
        <v>437</v>
      </c>
      <c r="L16" s="91" t="s">
        <v>436</v>
      </c>
      <c r="M16" s="29"/>
    </row>
    <row r="17" spans="3:13" x14ac:dyDescent="0.3">
      <c r="C17" s="52" t="s">
        <v>70</v>
      </c>
      <c r="D17" s="52">
        <v>4.0999999999999996</v>
      </c>
      <c r="E17" s="54">
        <v>4510</v>
      </c>
      <c r="F17" s="52">
        <v>0.44</v>
      </c>
      <c r="G17" s="52" t="s">
        <v>180</v>
      </c>
      <c r="I17" s="52" t="str">
        <f t="shared" ref="I17:I42" si="0">C17</f>
        <v>A</v>
      </c>
      <c r="J17" s="54">
        <f t="shared" ref="J17:J42" si="1">E17/D17</f>
        <v>1100</v>
      </c>
      <c r="K17" s="52" t="s">
        <v>182</v>
      </c>
      <c r="L17" t="s">
        <v>435</v>
      </c>
      <c r="M17" s="90"/>
    </row>
    <row r="18" spans="3:13" x14ac:dyDescent="0.3">
      <c r="C18" s="52" t="s">
        <v>69</v>
      </c>
      <c r="D18" s="52">
        <v>1.6</v>
      </c>
      <c r="E18" s="54">
        <v>80</v>
      </c>
      <c r="F18" s="52">
        <v>0.7</v>
      </c>
      <c r="G18" s="52" t="s">
        <v>182</v>
      </c>
      <c r="I18" s="52" t="str">
        <f t="shared" si="0"/>
        <v>B</v>
      </c>
      <c r="J18" s="54">
        <f t="shared" si="1"/>
        <v>50</v>
      </c>
      <c r="K18" s="54"/>
      <c r="L18" s="90"/>
      <c r="M18" s="90"/>
    </row>
    <row r="19" spans="3:13" x14ac:dyDescent="0.3">
      <c r="C19" s="52" t="s">
        <v>68</v>
      </c>
      <c r="D19" s="52">
        <v>1.5</v>
      </c>
      <c r="E19" s="54">
        <v>3150</v>
      </c>
      <c r="F19" s="52">
        <v>0.8</v>
      </c>
      <c r="G19" s="52" t="s">
        <v>180</v>
      </c>
      <c r="I19" s="52" t="str">
        <f t="shared" si="0"/>
        <v>C</v>
      </c>
      <c r="J19" s="54">
        <f t="shared" si="1"/>
        <v>2100</v>
      </c>
      <c r="K19" s="52" t="s">
        <v>182</v>
      </c>
      <c r="L19" t="s">
        <v>434</v>
      </c>
      <c r="M19" s="90"/>
    </row>
    <row r="20" spans="3:13" x14ac:dyDescent="0.3">
      <c r="C20" s="52" t="s">
        <v>204</v>
      </c>
      <c r="D20" s="52">
        <v>0.6</v>
      </c>
      <c r="E20" s="54">
        <v>660</v>
      </c>
      <c r="F20" s="52">
        <v>0.02</v>
      </c>
      <c r="G20" s="52" t="s">
        <v>182</v>
      </c>
      <c r="I20" s="52" t="str">
        <f t="shared" si="0"/>
        <v>D</v>
      </c>
      <c r="J20" s="54">
        <f t="shared" si="1"/>
        <v>1100</v>
      </c>
      <c r="K20" s="54"/>
      <c r="L20" s="90"/>
      <c r="M20" s="90"/>
    </row>
    <row r="21" spans="3:13" x14ac:dyDescent="0.3">
      <c r="C21" s="52" t="s">
        <v>203</v>
      </c>
      <c r="D21" s="52">
        <v>2.9</v>
      </c>
      <c r="E21" s="54">
        <v>29000</v>
      </c>
      <c r="F21" s="52">
        <v>0.32</v>
      </c>
      <c r="G21" s="52" t="s">
        <v>182</v>
      </c>
      <c r="I21" s="52" t="str">
        <f t="shared" si="0"/>
        <v>E</v>
      </c>
      <c r="J21" s="54">
        <f t="shared" si="1"/>
        <v>10000</v>
      </c>
      <c r="K21" s="54"/>
      <c r="L21" s="90"/>
      <c r="M21" s="90"/>
    </row>
    <row r="22" spans="3:13" x14ac:dyDescent="0.3">
      <c r="C22" s="52" t="s">
        <v>202</v>
      </c>
      <c r="D22" s="52">
        <v>2.1</v>
      </c>
      <c r="E22" s="54">
        <v>105</v>
      </c>
      <c r="F22" s="52">
        <v>0.89</v>
      </c>
      <c r="G22" s="52" t="s">
        <v>180</v>
      </c>
      <c r="I22" s="52" t="str">
        <f t="shared" si="0"/>
        <v>F</v>
      </c>
      <c r="J22" s="54">
        <f t="shared" si="1"/>
        <v>50</v>
      </c>
      <c r="K22" s="52" t="s">
        <v>182</v>
      </c>
      <c r="L22" t="s">
        <v>433</v>
      </c>
      <c r="M22" s="90"/>
    </row>
    <row r="23" spans="3:13" x14ac:dyDescent="0.3">
      <c r="C23" s="52" t="s">
        <v>201</v>
      </c>
      <c r="D23" s="52">
        <v>2.1</v>
      </c>
      <c r="E23" s="54">
        <v>4410</v>
      </c>
      <c r="F23" s="52">
        <v>0.5</v>
      </c>
      <c r="G23" s="52" t="s">
        <v>182</v>
      </c>
      <c r="I23" s="52" t="str">
        <f t="shared" si="0"/>
        <v>G</v>
      </c>
      <c r="J23" s="54">
        <f t="shared" si="1"/>
        <v>2100</v>
      </c>
      <c r="K23" s="54"/>
      <c r="L23" s="90"/>
      <c r="M23" s="90"/>
    </row>
    <row r="24" spans="3:13" x14ac:dyDescent="0.3">
      <c r="C24" s="52" t="s">
        <v>200</v>
      </c>
      <c r="D24" s="52">
        <v>1.4</v>
      </c>
      <c r="E24" s="54">
        <v>2940</v>
      </c>
      <c r="F24" s="52">
        <v>0.26</v>
      </c>
      <c r="G24" s="52" t="s">
        <v>182</v>
      </c>
      <c r="I24" s="52" t="str">
        <f t="shared" si="0"/>
        <v>H</v>
      </c>
      <c r="J24" s="54">
        <f t="shared" si="1"/>
        <v>2100</v>
      </c>
      <c r="K24" s="54"/>
      <c r="L24" s="90"/>
      <c r="M24" s="90"/>
    </row>
    <row r="25" spans="3:13" x14ac:dyDescent="0.3">
      <c r="C25" s="52" t="s">
        <v>199</v>
      </c>
      <c r="D25" s="52">
        <v>2</v>
      </c>
      <c r="E25" s="54">
        <v>4200</v>
      </c>
      <c r="F25" s="52">
        <v>0.3</v>
      </c>
      <c r="G25" s="52" t="s">
        <v>182</v>
      </c>
      <c r="I25" s="52" t="str">
        <f t="shared" si="0"/>
        <v>I</v>
      </c>
      <c r="J25" s="54">
        <f t="shared" si="1"/>
        <v>2100</v>
      </c>
      <c r="K25" s="54"/>
      <c r="L25" s="90"/>
      <c r="M25" s="90"/>
    </row>
    <row r="26" spans="3:13" x14ac:dyDescent="0.3">
      <c r="C26" s="52" t="s">
        <v>198</v>
      </c>
      <c r="D26" s="52">
        <v>1.7</v>
      </c>
      <c r="E26" s="54">
        <v>1870</v>
      </c>
      <c r="F26" s="52">
        <v>0.16</v>
      </c>
      <c r="G26" s="52" t="s">
        <v>182</v>
      </c>
      <c r="I26" s="52" t="str">
        <f t="shared" si="0"/>
        <v>J</v>
      </c>
      <c r="J26" s="54">
        <f t="shared" si="1"/>
        <v>1100</v>
      </c>
      <c r="K26" s="54"/>
      <c r="L26" s="90"/>
      <c r="M26" s="90"/>
    </row>
    <row r="27" spans="3:13" x14ac:dyDescent="0.3">
      <c r="C27" s="52" t="s">
        <v>197</v>
      </c>
      <c r="D27" s="52">
        <v>3.2</v>
      </c>
      <c r="E27" s="54">
        <v>3520</v>
      </c>
      <c r="F27" s="52">
        <v>0.8</v>
      </c>
      <c r="G27" s="52" t="s">
        <v>182</v>
      </c>
      <c r="I27" s="52" t="str">
        <f t="shared" si="0"/>
        <v>K</v>
      </c>
      <c r="J27" s="54">
        <f t="shared" si="1"/>
        <v>1100</v>
      </c>
      <c r="K27" s="52" t="s">
        <v>180</v>
      </c>
      <c r="L27" t="s">
        <v>432</v>
      </c>
      <c r="M27" s="90"/>
    </row>
    <row r="28" spans="3:13" x14ac:dyDescent="0.3">
      <c r="C28" s="52" t="s">
        <v>196</v>
      </c>
      <c r="D28" s="52">
        <v>3.3</v>
      </c>
      <c r="E28" s="54">
        <v>6930</v>
      </c>
      <c r="F28" s="52">
        <v>0.48</v>
      </c>
      <c r="G28" s="52" t="s">
        <v>182</v>
      </c>
      <c r="I28" s="52" t="str">
        <f t="shared" si="0"/>
        <v>L</v>
      </c>
      <c r="J28" s="54">
        <f t="shared" si="1"/>
        <v>2100</v>
      </c>
      <c r="K28" s="54"/>
      <c r="L28" s="90"/>
      <c r="M28" s="90"/>
    </row>
    <row r="29" spans="3:13" x14ac:dyDescent="0.3">
      <c r="C29" s="52" t="s">
        <v>195</v>
      </c>
      <c r="D29" s="52">
        <v>4.0999999999999996</v>
      </c>
      <c r="E29" s="54">
        <v>4510</v>
      </c>
      <c r="F29" s="52">
        <v>0.06</v>
      </c>
      <c r="G29" s="52" t="s">
        <v>180</v>
      </c>
      <c r="I29" s="52" t="str">
        <f t="shared" si="0"/>
        <v>M</v>
      </c>
      <c r="J29" s="54">
        <f t="shared" si="1"/>
        <v>1100</v>
      </c>
      <c r="K29" s="52" t="s">
        <v>182</v>
      </c>
      <c r="L29" t="s">
        <v>431</v>
      </c>
      <c r="M29" s="90"/>
    </row>
    <row r="30" spans="3:13" x14ac:dyDescent="0.3">
      <c r="C30" s="52" t="s">
        <v>194</v>
      </c>
      <c r="D30" s="52">
        <v>1.9</v>
      </c>
      <c r="E30" s="54">
        <v>5890</v>
      </c>
      <c r="F30" s="52">
        <v>0.76</v>
      </c>
      <c r="G30" s="52" t="s">
        <v>182</v>
      </c>
      <c r="I30" s="52" t="str">
        <f t="shared" si="0"/>
        <v>N</v>
      </c>
      <c r="J30" s="54">
        <f t="shared" si="1"/>
        <v>3100</v>
      </c>
      <c r="K30" s="54"/>
      <c r="L30" s="90"/>
      <c r="M30" s="90"/>
    </row>
    <row r="31" spans="3:13" x14ac:dyDescent="0.3">
      <c r="C31" s="52" t="s">
        <v>193</v>
      </c>
      <c r="D31" s="52">
        <v>4.4000000000000004</v>
      </c>
      <c r="E31" s="54">
        <v>44000</v>
      </c>
      <c r="F31" s="52">
        <v>0.12</v>
      </c>
      <c r="G31" s="52" t="s">
        <v>182</v>
      </c>
      <c r="I31" s="52" t="str">
        <f t="shared" si="0"/>
        <v>O</v>
      </c>
      <c r="J31" s="54">
        <f t="shared" si="1"/>
        <v>10000</v>
      </c>
      <c r="K31" s="54"/>
      <c r="L31" s="90"/>
      <c r="M31" s="90"/>
    </row>
    <row r="32" spans="3:13" x14ac:dyDescent="0.3">
      <c r="C32" s="52" t="s">
        <v>192</v>
      </c>
      <c r="D32" s="52">
        <v>1.8</v>
      </c>
      <c r="E32" s="54">
        <v>1980</v>
      </c>
      <c r="F32" s="52">
        <v>0.89</v>
      </c>
      <c r="G32" s="52" t="s">
        <v>180</v>
      </c>
      <c r="I32" s="52" t="str">
        <f t="shared" si="0"/>
        <v>P</v>
      </c>
      <c r="J32" s="54">
        <f t="shared" si="1"/>
        <v>1100</v>
      </c>
      <c r="K32" s="54"/>
      <c r="L32" s="90"/>
      <c r="M32" s="90"/>
    </row>
    <row r="33" spans="3:13" x14ac:dyDescent="0.3">
      <c r="C33" s="52" t="s">
        <v>191</v>
      </c>
      <c r="D33" s="52">
        <v>0.8</v>
      </c>
      <c r="E33" s="54">
        <v>2480</v>
      </c>
      <c r="F33" s="52">
        <v>0.3</v>
      </c>
      <c r="G33" s="52" t="s">
        <v>182</v>
      </c>
      <c r="I33" s="52" t="str">
        <f t="shared" si="0"/>
        <v>Q</v>
      </c>
      <c r="J33" s="54">
        <f t="shared" si="1"/>
        <v>3100</v>
      </c>
      <c r="K33" s="54"/>
      <c r="L33" s="90"/>
      <c r="M33" s="90"/>
    </row>
    <row r="34" spans="3:13" x14ac:dyDescent="0.3">
      <c r="C34" s="52" t="s">
        <v>190</v>
      </c>
      <c r="D34" s="52">
        <v>2.5</v>
      </c>
      <c r="E34" s="54">
        <v>5250</v>
      </c>
      <c r="F34" s="52">
        <v>0.79</v>
      </c>
      <c r="G34" s="52" t="s">
        <v>182</v>
      </c>
      <c r="I34" s="52" t="str">
        <f t="shared" si="0"/>
        <v>R</v>
      </c>
      <c r="J34" s="54">
        <f t="shared" si="1"/>
        <v>2100</v>
      </c>
      <c r="K34" s="54"/>
      <c r="L34" s="90"/>
      <c r="M34" s="90"/>
    </row>
    <row r="35" spans="3:13" x14ac:dyDescent="0.3">
      <c r="C35" s="52" t="s">
        <v>189</v>
      </c>
      <c r="D35" s="52">
        <v>4.3</v>
      </c>
      <c r="E35" s="54">
        <v>9030</v>
      </c>
      <c r="F35" s="52">
        <v>0.1</v>
      </c>
      <c r="G35" s="52" t="s">
        <v>182</v>
      </c>
      <c r="I35" s="52" t="str">
        <f t="shared" si="0"/>
        <v>S</v>
      </c>
      <c r="J35" s="54">
        <f t="shared" si="1"/>
        <v>2100</v>
      </c>
      <c r="K35" s="54"/>
      <c r="L35" s="90"/>
      <c r="M35" s="90"/>
    </row>
    <row r="36" spans="3:13" x14ac:dyDescent="0.3">
      <c r="C36" s="52" t="s">
        <v>188</v>
      </c>
      <c r="D36" s="52">
        <v>3</v>
      </c>
      <c r="E36" s="54">
        <v>6300</v>
      </c>
      <c r="F36" s="52">
        <v>0.97</v>
      </c>
      <c r="G36" s="52" t="s">
        <v>182</v>
      </c>
      <c r="I36" s="52" t="str">
        <f t="shared" si="0"/>
        <v>T</v>
      </c>
      <c r="J36" s="54">
        <f t="shared" si="1"/>
        <v>2100</v>
      </c>
      <c r="K36" s="54"/>
      <c r="L36" s="90"/>
      <c r="M36" s="90"/>
    </row>
    <row r="37" spans="3:13" x14ac:dyDescent="0.3">
      <c r="C37" s="52" t="s">
        <v>187</v>
      </c>
      <c r="D37" s="52">
        <v>0.8</v>
      </c>
      <c r="E37" s="54">
        <v>1680</v>
      </c>
      <c r="F37" s="52">
        <v>0.28000000000000003</v>
      </c>
      <c r="G37" s="52" t="s">
        <v>182</v>
      </c>
      <c r="I37" s="52" t="str">
        <f t="shared" si="0"/>
        <v>U</v>
      </c>
      <c r="J37" s="54">
        <f t="shared" si="1"/>
        <v>2100</v>
      </c>
      <c r="K37" s="54"/>
      <c r="L37" s="90"/>
      <c r="M37" s="90"/>
    </row>
    <row r="38" spans="3:13" x14ac:dyDescent="0.3">
      <c r="C38" s="52" t="s">
        <v>186</v>
      </c>
      <c r="D38" s="52">
        <v>4.4000000000000004</v>
      </c>
      <c r="E38" s="54">
        <v>13640</v>
      </c>
      <c r="F38" s="52">
        <v>0.52</v>
      </c>
      <c r="G38" s="52" t="s">
        <v>182</v>
      </c>
      <c r="I38" s="52" t="str">
        <f t="shared" si="0"/>
        <v>V</v>
      </c>
      <c r="J38" s="54">
        <f t="shared" si="1"/>
        <v>3099.9999999999995</v>
      </c>
      <c r="K38" s="54"/>
      <c r="L38" s="90"/>
      <c r="M38" s="90"/>
    </row>
    <row r="39" spans="3:13" x14ac:dyDescent="0.3">
      <c r="C39" s="52" t="s">
        <v>185</v>
      </c>
      <c r="D39" s="52">
        <v>1.3</v>
      </c>
      <c r="E39" s="54">
        <v>4030</v>
      </c>
      <c r="F39" s="52">
        <v>0.38</v>
      </c>
      <c r="G39" s="52" t="s">
        <v>182</v>
      </c>
      <c r="I39" s="52" t="str">
        <f t="shared" si="0"/>
        <v>W</v>
      </c>
      <c r="J39" s="54">
        <f t="shared" si="1"/>
        <v>3100</v>
      </c>
      <c r="K39" s="54"/>
      <c r="L39" s="90"/>
      <c r="M39" s="90"/>
    </row>
    <row r="40" spans="3:13" x14ac:dyDescent="0.3">
      <c r="C40" s="52" t="s">
        <v>184</v>
      </c>
      <c r="D40" s="52">
        <v>1.7</v>
      </c>
      <c r="E40" s="54">
        <v>5270</v>
      </c>
      <c r="F40" s="52">
        <v>0.45</v>
      </c>
      <c r="G40" s="52" t="s">
        <v>182</v>
      </c>
      <c r="I40" s="52" t="str">
        <f t="shared" si="0"/>
        <v>X</v>
      </c>
      <c r="J40" s="54">
        <f t="shared" si="1"/>
        <v>3100</v>
      </c>
      <c r="K40" s="54"/>
      <c r="L40" s="90"/>
      <c r="M40" s="90"/>
    </row>
    <row r="41" spans="3:13" x14ac:dyDescent="0.3">
      <c r="C41" s="52" t="s">
        <v>183</v>
      </c>
      <c r="D41" s="52">
        <v>2.2999999999999998</v>
      </c>
      <c r="E41" s="54">
        <v>23000</v>
      </c>
      <c r="F41" s="52">
        <v>0.02</v>
      </c>
      <c r="G41" s="52" t="s">
        <v>182</v>
      </c>
      <c r="I41" s="52" t="str">
        <f t="shared" si="0"/>
        <v>Y</v>
      </c>
      <c r="J41" s="54">
        <f t="shared" si="1"/>
        <v>10000</v>
      </c>
      <c r="K41" s="54"/>
      <c r="L41" s="90"/>
      <c r="M41" s="90"/>
    </row>
    <row r="42" spans="3:13" x14ac:dyDescent="0.3">
      <c r="C42" s="52" t="s">
        <v>181</v>
      </c>
      <c r="D42" s="52">
        <v>0.3</v>
      </c>
      <c r="E42" s="54">
        <v>330</v>
      </c>
      <c r="F42" s="52">
        <v>0.7</v>
      </c>
      <c r="G42" s="52" t="s">
        <v>180</v>
      </c>
      <c r="I42" s="52" t="str">
        <f t="shared" si="0"/>
        <v>Z</v>
      </c>
      <c r="J42" s="54">
        <f t="shared" si="1"/>
        <v>1100</v>
      </c>
      <c r="K42" s="52" t="s">
        <v>182</v>
      </c>
      <c r="L42" t="s">
        <v>430</v>
      </c>
      <c r="M42" s="90"/>
    </row>
    <row r="45" spans="3:13" x14ac:dyDescent="0.3">
      <c r="I45" t="s">
        <v>429</v>
      </c>
    </row>
  </sheetData>
  <mergeCells count="3">
    <mergeCell ref="C10:F10"/>
    <mergeCell ref="C13:G13"/>
    <mergeCell ref="I13:M13"/>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D7A92-DD60-414F-8022-34821ED853BA}">
  <sheetPr>
    <tabColor theme="5" tint="0.39997558519241921"/>
  </sheetPr>
  <dimension ref="A1:K20"/>
  <sheetViews>
    <sheetView workbookViewId="0">
      <pane xSplit="2" ySplit="20" topLeftCell="C21" activePane="bottomRight" state="frozen"/>
      <selection activeCell="K41" sqref="K41"/>
      <selection pane="topRight" activeCell="K41" sqref="K41"/>
      <selection pane="bottomLeft" activeCell="K41" sqref="K41"/>
      <selection pane="bottomRight" activeCell="K41" sqref="K41"/>
    </sheetView>
  </sheetViews>
  <sheetFormatPr defaultRowHeight="14.4" x14ac:dyDescent="0.3"/>
  <cols>
    <col min="3" max="3" width="18.109375" customWidth="1"/>
    <col min="4" max="4" width="12.109375" customWidth="1"/>
    <col min="5" max="5" width="13" customWidth="1"/>
    <col min="6" max="8" width="10.6640625" customWidth="1"/>
    <col min="9" max="9" width="9.33203125" customWidth="1"/>
  </cols>
  <sheetData>
    <row r="1" spans="1:11" ht="15" thickBot="1" x14ac:dyDescent="0.35">
      <c r="A1" t="s">
        <v>222</v>
      </c>
      <c r="J1" s="25" t="s">
        <v>40</v>
      </c>
      <c r="K1" s="24"/>
    </row>
    <row r="2" spans="1:11" ht="15" thickBot="1" x14ac:dyDescent="0.35">
      <c r="J2" s="23" t="s">
        <v>39</v>
      </c>
      <c r="K2" s="23"/>
    </row>
    <row r="3" spans="1:11" ht="15" thickBot="1" x14ac:dyDescent="0.35">
      <c r="C3" s="182" t="s">
        <v>16</v>
      </c>
      <c r="D3" s="183"/>
      <c r="E3" s="183"/>
      <c r="F3" s="184"/>
      <c r="J3" s="22" t="s">
        <v>38</v>
      </c>
      <c r="K3" s="22"/>
    </row>
    <row r="4" spans="1:11" ht="15.6" thickTop="1" thickBot="1" x14ac:dyDescent="0.35">
      <c r="J4" s="21" t="s">
        <v>37</v>
      </c>
      <c r="K4" s="21"/>
    </row>
    <row r="5" spans="1:11" ht="15" thickTop="1" x14ac:dyDescent="0.3">
      <c r="C5" t="s">
        <v>221</v>
      </c>
      <c r="J5" s="20" t="s">
        <v>36</v>
      </c>
      <c r="K5" s="19"/>
    </row>
    <row r="6" spans="1:11" x14ac:dyDescent="0.3">
      <c r="C6">
        <v>300</v>
      </c>
      <c r="D6" t="s">
        <v>218</v>
      </c>
    </row>
    <row r="7" spans="1:11" x14ac:dyDescent="0.3">
      <c r="C7">
        <v>500</v>
      </c>
      <c r="D7" t="s">
        <v>217</v>
      </c>
    </row>
    <row r="9" spans="1:11" x14ac:dyDescent="0.3">
      <c r="C9" t="s">
        <v>220</v>
      </c>
      <c r="F9" t="s">
        <v>219</v>
      </c>
    </row>
    <row r="10" spans="1:11" x14ac:dyDescent="0.3">
      <c r="C10" s="27">
        <v>2500000</v>
      </c>
      <c r="D10" t="s">
        <v>218</v>
      </c>
      <c r="F10" s="55">
        <f>C10/C6</f>
        <v>8333.3333333333339</v>
      </c>
    </row>
    <row r="11" spans="1:11" x14ac:dyDescent="0.3">
      <c r="C11" s="27">
        <v>4900000</v>
      </c>
      <c r="D11" t="s">
        <v>217</v>
      </c>
      <c r="F11" s="55">
        <f>C11/C7</f>
        <v>9800</v>
      </c>
    </row>
    <row r="13" spans="1:11" x14ac:dyDescent="0.3">
      <c r="C13" t="s">
        <v>216</v>
      </c>
    </row>
    <row r="14" spans="1:11" x14ac:dyDescent="0.3">
      <c r="C14" s="3">
        <v>0.8</v>
      </c>
      <c r="D14" t="s">
        <v>215</v>
      </c>
    </row>
    <row r="15" spans="1:11" x14ac:dyDescent="0.3">
      <c r="C15" s="18" t="s">
        <v>214</v>
      </c>
      <c r="D15" t="s">
        <v>213</v>
      </c>
    </row>
    <row r="17" spans="3:7" x14ac:dyDescent="0.3">
      <c r="C17" s="3">
        <v>0.25</v>
      </c>
      <c r="D17" t="s">
        <v>212</v>
      </c>
    </row>
    <row r="18" spans="3:7" x14ac:dyDescent="0.3">
      <c r="C18" s="3">
        <v>0.05</v>
      </c>
      <c r="D18" t="s">
        <v>211</v>
      </c>
    </row>
    <row r="19" spans="3:7" ht="15" thickBot="1" x14ac:dyDescent="0.35"/>
    <row r="20" spans="3:7" ht="15" thickBot="1" x14ac:dyDescent="0.35">
      <c r="C20" s="182" t="s">
        <v>9</v>
      </c>
      <c r="D20" s="183"/>
      <c r="E20" s="183"/>
      <c r="F20" s="183"/>
      <c r="G20" s="184"/>
    </row>
  </sheetData>
  <mergeCells count="2">
    <mergeCell ref="C3:F3"/>
    <mergeCell ref="C20:G2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
  <sheetViews>
    <sheetView workbookViewId="0">
      <selection activeCell="C9" sqref="C9"/>
    </sheetView>
  </sheetViews>
  <sheetFormatPr defaultRowHeight="14.4" x14ac:dyDescent="0.3"/>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FC90D-B407-4E33-ACBF-C821108C4147}">
  <sheetPr>
    <tabColor theme="9" tint="0.59999389629810485"/>
  </sheetPr>
  <dimension ref="A1:L52"/>
  <sheetViews>
    <sheetView workbookViewId="0">
      <pane xSplit="2" ySplit="20" topLeftCell="C21" activePane="bottomRight" state="frozen"/>
      <selection activeCell="A3" sqref="A3"/>
      <selection pane="topRight" activeCell="A3" sqref="A3"/>
      <selection pane="bottomLeft" activeCell="A3" sqref="A3"/>
      <selection pane="bottomRight" activeCell="A3" sqref="A3"/>
    </sheetView>
  </sheetViews>
  <sheetFormatPr defaultRowHeight="14.4" x14ac:dyDescent="0.3"/>
  <cols>
    <col min="3" max="3" width="18.109375" customWidth="1"/>
    <col min="4" max="4" width="12.109375" customWidth="1"/>
    <col min="5" max="5" width="13" customWidth="1"/>
    <col min="6" max="8" width="10.6640625" customWidth="1"/>
    <col min="9" max="9" width="9.33203125" customWidth="1"/>
  </cols>
  <sheetData>
    <row r="1" spans="1:11" ht="15" thickBot="1" x14ac:dyDescent="0.35">
      <c r="A1" t="s">
        <v>222</v>
      </c>
      <c r="J1" s="25" t="s">
        <v>40</v>
      </c>
      <c r="K1" s="24"/>
    </row>
    <row r="2" spans="1:11" ht="15" thickBot="1" x14ac:dyDescent="0.35">
      <c r="J2" s="23" t="s">
        <v>39</v>
      </c>
      <c r="K2" s="23"/>
    </row>
    <row r="3" spans="1:11" ht="15" thickBot="1" x14ac:dyDescent="0.35">
      <c r="C3" s="182" t="s">
        <v>16</v>
      </c>
      <c r="D3" s="183"/>
      <c r="E3" s="183"/>
      <c r="F3" s="184"/>
      <c r="J3" s="22" t="s">
        <v>38</v>
      </c>
      <c r="K3" s="22"/>
    </row>
    <row r="4" spans="1:11" ht="15.6" thickTop="1" thickBot="1" x14ac:dyDescent="0.35">
      <c r="J4" s="21" t="s">
        <v>37</v>
      </c>
      <c r="K4" s="21"/>
    </row>
    <row r="5" spans="1:11" ht="15" thickTop="1" x14ac:dyDescent="0.3">
      <c r="C5" t="s">
        <v>221</v>
      </c>
      <c r="J5" s="20" t="s">
        <v>36</v>
      </c>
      <c r="K5" s="19"/>
    </row>
    <row r="6" spans="1:11" x14ac:dyDescent="0.3">
      <c r="C6">
        <v>300</v>
      </c>
      <c r="D6" t="s">
        <v>218</v>
      </c>
    </row>
    <row r="7" spans="1:11" x14ac:dyDescent="0.3">
      <c r="C7">
        <v>500</v>
      </c>
      <c r="D7" t="s">
        <v>217</v>
      </c>
    </row>
    <row r="9" spans="1:11" x14ac:dyDescent="0.3">
      <c r="C9" t="s">
        <v>220</v>
      </c>
      <c r="F9" t="s">
        <v>219</v>
      </c>
    </row>
    <row r="10" spans="1:11" x14ac:dyDescent="0.3">
      <c r="C10" s="27">
        <v>2500000</v>
      </c>
      <c r="D10" t="s">
        <v>218</v>
      </c>
      <c r="F10" s="55">
        <f>C10/C6</f>
        <v>8333.3333333333339</v>
      </c>
    </row>
    <row r="11" spans="1:11" x14ac:dyDescent="0.3">
      <c r="C11" s="27">
        <v>4900000</v>
      </c>
      <c r="D11" t="s">
        <v>217</v>
      </c>
      <c r="F11" s="55">
        <f>C11/C7</f>
        <v>9800</v>
      </c>
    </row>
    <row r="13" spans="1:11" x14ac:dyDescent="0.3">
      <c r="C13" t="s">
        <v>216</v>
      </c>
    </row>
    <row r="14" spans="1:11" x14ac:dyDescent="0.3">
      <c r="C14" s="3">
        <v>0.8</v>
      </c>
      <c r="D14" t="s">
        <v>215</v>
      </c>
    </row>
    <row r="15" spans="1:11" x14ac:dyDescent="0.3">
      <c r="C15" s="18" t="s">
        <v>214</v>
      </c>
      <c r="D15" t="s">
        <v>213</v>
      </c>
    </row>
    <row r="17" spans="3:9" x14ac:dyDescent="0.3">
      <c r="C17" s="3">
        <v>0.25</v>
      </c>
      <c r="D17" t="s">
        <v>212</v>
      </c>
    </row>
    <row r="18" spans="3:9" x14ac:dyDescent="0.3">
      <c r="C18" s="3">
        <v>0.05</v>
      </c>
      <c r="D18" t="s">
        <v>211</v>
      </c>
    </row>
    <row r="19" spans="3:9" ht="15" thickBot="1" x14ac:dyDescent="0.35"/>
    <row r="20" spans="3:9" ht="15" thickBot="1" x14ac:dyDescent="0.35">
      <c r="C20" s="182" t="s">
        <v>9</v>
      </c>
      <c r="D20" s="183"/>
      <c r="E20" s="183"/>
      <c r="F20" s="183"/>
      <c r="G20" s="184"/>
    </row>
    <row r="23" spans="3:9" x14ac:dyDescent="0.3">
      <c r="C23" s="33"/>
      <c r="D23" s="33"/>
      <c r="E23" s="33"/>
      <c r="F23" s="33"/>
      <c r="G23" s="33"/>
    </row>
    <row r="24" spans="3:9" x14ac:dyDescent="0.3">
      <c r="C24" s="49">
        <f>C11/(SUM(C10:C11))</f>
        <v>0.66216216216216217</v>
      </c>
      <c r="D24" t="s">
        <v>406</v>
      </c>
      <c r="E24" s="23" t="s">
        <v>452</v>
      </c>
      <c r="F24" s="23"/>
      <c r="G24" s="23"/>
      <c r="H24" s="23"/>
      <c r="I24" s="23"/>
    </row>
    <row r="25" spans="3:9" x14ac:dyDescent="0.3">
      <c r="C25" s="49">
        <f>1-F10/F11</f>
        <v>0.14965986394557818</v>
      </c>
      <c r="D25" t="s">
        <v>405</v>
      </c>
    </row>
    <row r="26" spans="3:9" x14ac:dyDescent="0.3">
      <c r="C26" s="49">
        <f>C17</f>
        <v>0.25</v>
      </c>
      <c r="D26" t="s">
        <v>403</v>
      </c>
    </row>
    <row r="28" spans="3:9" x14ac:dyDescent="0.3">
      <c r="C28" s="94">
        <f>(C29-C26*C25*C24)/(C24-C26*C24)</f>
        <v>5.0793650793650821E-2</v>
      </c>
      <c r="D28" t="s">
        <v>404</v>
      </c>
      <c r="E28" s="94"/>
      <c r="G28" s="93"/>
    </row>
    <row r="29" spans="3:9" x14ac:dyDescent="0.3">
      <c r="C29" s="49">
        <f>C18</f>
        <v>0.05</v>
      </c>
      <c r="D29" t="s">
        <v>402</v>
      </c>
      <c r="E29" s="23" t="s">
        <v>451</v>
      </c>
      <c r="F29" s="23"/>
      <c r="G29" s="23"/>
      <c r="H29" s="23"/>
    </row>
    <row r="30" spans="3:9" x14ac:dyDescent="0.3">
      <c r="C30" s="49"/>
    </row>
    <row r="31" spans="3:9" x14ac:dyDescent="0.3">
      <c r="C31" s="49">
        <f>(1-C28)*C14</f>
        <v>0.75936507936507935</v>
      </c>
      <c r="D31" t="s">
        <v>450</v>
      </c>
    </row>
    <row r="32" spans="3:9" x14ac:dyDescent="0.3">
      <c r="C32" s="92">
        <f>1-C31</f>
        <v>0.24063492063492065</v>
      </c>
      <c r="D32" t="s">
        <v>449</v>
      </c>
    </row>
    <row r="33" spans="3:12" x14ac:dyDescent="0.3">
      <c r="C33" s="19">
        <f>C29*(C6*F10*C14+C7*F11*C14)</f>
        <v>296000</v>
      </c>
      <c r="D33" s="23" t="s">
        <v>448</v>
      </c>
      <c r="E33" s="23"/>
      <c r="F33" s="23"/>
      <c r="G33" s="23"/>
      <c r="H33" s="23"/>
      <c r="I33" s="23"/>
      <c r="J33" s="23"/>
      <c r="K33" s="23"/>
      <c r="L33" s="23"/>
    </row>
    <row r="35" spans="3:12" ht="15" thickBot="1" x14ac:dyDescent="0.35"/>
    <row r="36" spans="3:12" ht="15" thickBot="1" x14ac:dyDescent="0.35">
      <c r="C36" s="182" t="s">
        <v>447</v>
      </c>
      <c r="D36" s="183"/>
      <c r="E36" s="183"/>
      <c r="F36" s="183"/>
      <c r="G36" s="184"/>
    </row>
    <row r="38" spans="3:12" x14ac:dyDescent="0.3">
      <c r="C38" s="73" t="s">
        <v>446</v>
      </c>
    </row>
    <row r="39" spans="3:12" x14ac:dyDescent="0.3">
      <c r="C39" s="27">
        <f>D40+D41</f>
        <v>2833333.3333333335</v>
      </c>
      <c r="D39" t="s">
        <v>442</v>
      </c>
    </row>
    <row r="40" spans="3:12" x14ac:dyDescent="0.3">
      <c r="C40" s="27"/>
      <c r="D40" s="27">
        <f>(C6)*F10*C14</f>
        <v>2000000</v>
      </c>
      <c r="E40" t="s">
        <v>445</v>
      </c>
    </row>
    <row r="41" spans="3:12" x14ac:dyDescent="0.3">
      <c r="D41" s="27">
        <f>(C17*C7)*F10*C14</f>
        <v>833333.33333333349</v>
      </c>
      <c r="E41" t="s">
        <v>444</v>
      </c>
    </row>
    <row r="42" spans="3:12" x14ac:dyDescent="0.3">
      <c r="C42" s="27">
        <f>C7*(1-C17)*F11*C31</f>
        <v>2790666.6666666665</v>
      </c>
      <c r="D42" t="s">
        <v>441</v>
      </c>
    </row>
    <row r="43" spans="3:12" x14ac:dyDescent="0.3">
      <c r="C43" s="27">
        <f>C42+C39</f>
        <v>5624000</v>
      </c>
      <c r="D43" t="s">
        <v>380</v>
      </c>
    </row>
    <row r="45" spans="3:12" x14ac:dyDescent="0.3">
      <c r="C45" s="73" t="s">
        <v>443</v>
      </c>
    </row>
    <row r="46" spans="3:12" x14ac:dyDescent="0.3">
      <c r="C46" s="27">
        <f>(C6)*F10*C14</f>
        <v>2000000</v>
      </c>
      <c r="D46" t="s">
        <v>442</v>
      </c>
    </row>
    <row r="47" spans="3:12" x14ac:dyDescent="0.3">
      <c r="C47" s="27">
        <f>C7*F11*C14</f>
        <v>3920000</v>
      </c>
      <c r="D47" t="s">
        <v>441</v>
      </c>
    </row>
    <row r="48" spans="3:12" x14ac:dyDescent="0.3">
      <c r="C48" s="27">
        <f>SUM(C46:C47)</f>
        <v>5920000</v>
      </c>
      <c r="D48" t="s">
        <v>380</v>
      </c>
    </row>
    <row r="49" spans="3:6" ht="15" thickBot="1" x14ac:dyDescent="0.35"/>
    <row r="50" spans="3:6" ht="15.6" thickTop="1" thickBot="1" x14ac:dyDescent="0.35">
      <c r="C50" s="19">
        <f>C48-C43</f>
        <v>296000</v>
      </c>
      <c r="D50" t="s">
        <v>440</v>
      </c>
      <c r="F50" s="21" t="b">
        <f>C50=C33</f>
        <v>1</v>
      </c>
    </row>
    <row r="51" spans="3:6" ht="15.6" thickTop="1" thickBot="1" x14ac:dyDescent="0.35">
      <c r="C51" s="70">
        <f>C50/C48</f>
        <v>0.05</v>
      </c>
      <c r="D51" t="s">
        <v>439</v>
      </c>
      <c r="F51" s="21" t="b">
        <f>ROUND(C51,6)=ROUND(C29,6)</f>
        <v>1</v>
      </c>
    </row>
    <row r="52" spans="3:6" ht="15" thickTop="1" x14ac:dyDescent="0.3"/>
  </sheetData>
  <mergeCells count="3">
    <mergeCell ref="C3:F3"/>
    <mergeCell ref="C20:G20"/>
    <mergeCell ref="C36:G36"/>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E6FE6-8284-4A5B-AB4E-DFCCB6C5A815}">
  <sheetPr>
    <tabColor theme="5" tint="0.39997558519241921"/>
  </sheetPr>
  <dimension ref="A1:M81"/>
  <sheetViews>
    <sheetView workbookViewId="0">
      <selection activeCell="K41" sqref="K41"/>
    </sheetView>
  </sheetViews>
  <sheetFormatPr defaultRowHeight="14.4" x14ac:dyDescent="0.3"/>
  <cols>
    <col min="3" max="3" width="14.33203125" bestFit="1" customWidth="1"/>
    <col min="4" max="4" width="11.5546875" bestFit="1" customWidth="1"/>
    <col min="5" max="5" width="12.109375" bestFit="1" customWidth="1"/>
    <col min="9" max="9" width="13.88671875" bestFit="1" customWidth="1"/>
    <col min="10" max="10" width="12.5546875" customWidth="1"/>
    <col min="11" max="12" width="8.6640625" customWidth="1"/>
    <col min="14" max="14" width="8.6640625" customWidth="1"/>
    <col min="17" max="17" width="11.109375" bestFit="1" customWidth="1"/>
    <col min="20" max="20" width="10.109375" bestFit="1" customWidth="1"/>
    <col min="22" max="22" width="12.109375" customWidth="1"/>
  </cols>
  <sheetData>
    <row r="1" spans="1:8" ht="15" thickBot="1" x14ac:dyDescent="0.35">
      <c r="A1" t="s">
        <v>243</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C12">
        <v>70</v>
      </c>
      <c r="D12" t="s">
        <v>242</v>
      </c>
      <c r="E12" t="s">
        <v>241</v>
      </c>
    </row>
    <row r="13" spans="1:8" x14ac:dyDescent="0.3">
      <c r="C13">
        <v>0.5</v>
      </c>
      <c r="D13" t="s">
        <v>240</v>
      </c>
      <c r="E13" s="57" t="s">
        <v>239</v>
      </c>
    </row>
    <row r="14" spans="1:8" x14ac:dyDescent="0.3">
      <c r="C14" s="5">
        <v>15000000</v>
      </c>
      <c r="E14" s="57" t="s">
        <v>238</v>
      </c>
    </row>
    <row r="15" spans="1:8" x14ac:dyDescent="0.3">
      <c r="D15" t="s">
        <v>237</v>
      </c>
    </row>
    <row r="16" spans="1:8" x14ac:dyDescent="0.3">
      <c r="D16" t="s">
        <v>236</v>
      </c>
    </row>
    <row r="17" spans="1:13" x14ac:dyDescent="0.3">
      <c r="D17" t="s">
        <v>235</v>
      </c>
    </row>
    <row r="18" spans="1:13" x14ac:dyDescent="0.3">
      <c r="D18" t="s">
        <v>234</v>
      </c>
    </row>
    <row r="21" spans="1:13" ht="15" thickBot="1" x14ac:dyDescent="0.35"/>
    <row r="22" spans="1:13" ht="15" thickBot="1" x14ac:dyDescent="0.35">
      <c r="C22" s="182" t="s">
        <v>10</v>
      </c>
      <c r="D22" s="183"/>
      <c r="E22" s="183"/>
      <c r="F22" s="183"/>
      <c r="G22" s="184"/>
      <c r="I22" s="182" t="s">
        <v>9</v>
      </c>
      <c r="J22" s="183"/>
      <c r="K22" s="183"/>
      <c r="L22" s="183"/>
      <c r="M22" s="184"/>
    </row>
    <row r="24" spans="1:13" s="6" customFormat="1" x14ac:dyDescent="0.3">
      <c r="A24" s="6" t="s">
        <v>233</v>
      </c>
    </row>
    <row r="25" spans="1:13" x14ac:dyDescent="0.3">
      <c r="C25" t="s">
        <v>232</v>
      </c>
    </row>
    <row r="26" spans="1:13" x14ac:dyDescent="0.3">
      <c r="C26" s="18" t="s">
        <v>231</v>
      </c>
      <c r="D26" s="5">
        <v>100000</v>
      </c>
    </row>
    <row r="27" spans="1:13" x14ac:dyDescent="0.3">
      <c r="C27" s="18" t="s">
        <v>230</v>
      </c>
      <c r="D27" s="5">
        <v>1248</v>
      </c>
    </row>
    <row r="28" spans="1:13" x14ac:dyDescent="0.3">
      <c r="C28" s="18" t="s">
        <v>229</v>
      </c>
      <c r="D28" s="5">
        <v>1158</v>
      </c>
    </row>
    <row r="30" spans="1:13" x14ac:dyDescent="0.3">
      <c r="C30" t="s">
        <v>228</v>
      </c>
    </row>
    <row r="31" spans="1:13" x14ac:dyDescent="0.3">
      <c r="C31" s="18" t="s">
        <v>227</v>
      </c>
      <c r="D31" s="49">
        <v>0.04</v>
      </c>
    </row>
    <row r="32" spans="1:13" x14ac:dyDescent="0.3">
      <c r="C32" s="18" t="s">
        <v>226</v>
      </c>
      <c r="D32" s="49">
        <v>0.03</v>
      </c>
    </row>
    <row r="33" spans="1:13" x14ac:dyDescent="0.3">
      <c r="C33" s="18" t="s">
        <v>225</v>
      </c>
      <c r="D33" s="49">
        <v>0.05</v>
      </c>
    </row>
    <row r="44" spans="1:13" s="6" customFormat="1" x14ac:dyDescent="0.3">
      <c r="A44" s="6" t="s">
        <v>117</v>
      </c>
    </row>
    <row r="45" spans="1:13" ht="15" thickBot="1" x14ac:dyDescent="0.35"/>
    <row r="46" spans="1:13" ht="15" thickBot="1" x14ac:dyDescent="0.35">
      <c r="C46" s="182" t="s">
        <v>16</v>
      </c>
      <c r="D46" s="183"/>
      <c r="E46" s="183"/>
      <c r="F46" s="184"/>
      <c r="I46" s="182" t="s">
        <v>9</v>
      </c>
      <c r="J46" s="183"/>
      <c r="K46" s="183"/>
      <c r="L46" s="183"/>
      <c r="M46" s="184"/>
    </row>
    <row r="48" spans="1:13" x14ac:dyDescent="0.3">
      <c r="C48">
        <v>5</v>
      </c>
      <c r="D48" t="s">
        <v>224</v>
      </c>
    </row>
    <row r="49" spans="3:4" x14ac:dyDescent="0.3">
      <c r="C49">
        <v>0.01</v>
      </c>
      <c r="D49" t="s">
        <v>223</v>
      </c>
    </row>
    <row r="67" spans="9:10" x14ac:dyDescent="0.3">
      <c r="J67" s="27"/>
    </row>
    <row r="68" spans="9:10" x14ac:dyDescent="0.3">
      <c r="J68" s="27"/>
    </row>
    <row r="69" spans="9:10" x14ac:dyDescent="0.3">
      <c r="J69" s="27"/>
    </row>
    <row r="70" spans="9:10" x14ac:dyDescent="0.3">
      <c r="J70" s="27"/>
    </row>
    <row r="78" spans="9:10" x14ac:dyDescent="0.3">
      <c r="I78" s="27"/>
    </row>
    <row r="79" spans="9:10" x14ac:dyDescent="0.3">
      <c r="I79" s="27"/>
    </row>
    <row r="80" spans="9:10" x14ac:dyDescent="0.3">
      <c r="I80" s="27"/>
    </row>
    <row r="81" spans="9:9" x14ac:dyDescent="0.3">
      <c r="I81" s="56"/>
    </row>
  </sheetData>
  <mergeCells count="5">
    <mergeCell ref="C10:F10"/>
    <mergeCell ref="C22:G22"/>
    <mergeCell ref="I22:M22"/>
    <mergeCell ref="C46:F46"/>
    <mergeCell ref="I46:M46"/>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CAA67-C757-466F-AEAA-E4DD13ABF3F6}">
  <sheetPr>
    <tabColor theme="9" tint="0.59999389629810485"/>
  </sheetPr>
  <dimension ref="A1:V81"/>
  <sheetViews>
    <sheetView workbookViewId="0">
      <selection activeCell="A3" sqref="A3"/>
    </sheetView>
  </sheetViews>
  <sheetFormatPr defaultRowHeight="14.4" x14ac:dyDescent="0.3"/>
  <cols>
    <col min="3" max="3" width="14.33203125" bestFit="1" customWidth="1"/>
    <col min="4" max="4" width="11.5546875" bestFit="1" customWidth="1"/>
    <col min="5" max="5" width="12.109375" bestFit="1" customWidth="1"/>
    <col min="9" max="9" width="13.88671875" bestFit="1" customWidth="1"/>
    <col min="10" max="10" width="12.5546875" customWidth="1"/>
    <col min="11" max="12" width="8.6640625" customWidth="1"/>
    <col min="14" max="14" width="8.6640625" customWidth="1"/>
    <col min="17" max="17" width="11.109375" bestFit="1" customWidth="1"/>
    <col min="20" max="20" width="10.109375" bestFit="1" customWidth="1"/>
    <col min="22" max="22" width="12.109375" customWidth="1"/>
  </cols>
  <sheetData>
    <row r="1" spans="1:8" ht="15" thickBot="1" x14ac:dyDescent="0.35">
      <c r="A1" t="s">
        <v>243</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C12">
        <v>70</v>
      </c>
      <c r="D12" t="s">
        <v>242</v>
      </c>
      <c r="E12" t="s">
        <v>241</v>
      </c>
    </row>
    <row r="13" spans="1:8" x14ac:dyDescent="0.3">
      <c r="C13">
        <v>0.5</v>
      </c>
      <c r="D13" t="s">
        <v>240</v>
      </c>
      <c r="E13" s="57" t="s">
        <v>239</v>
      </c>
    </row>
    <row r="14" spans="1:8" x14ac:dyDescent="0.3">
      <c r="C14" s="5">
        <v>15000000</v>
      </c>
      <c r="E14" s="57" t="s">
        <v>238</v>
      </c>
    </row>
    <row r="15" spans="1:8" x14ac:dyDescent="0.3">
      <c r="D15" t="s">
        <v>237</v>
      </c>
    </row>
    <row r="16" spans="1:8" x14ac:dyDescent="0.3">
      <c r="D16" t="s">
        <v>236</v>
      </c>
    </row>
    <row r="17" spans="1:13" x14ac:dyDescent="0.3">
      <c r="D17" t="s">
        <v>235</v>
      </c>
    </row>
    <row r="18" spans="1:13" x14ac:dyDescent="0.3">
      <c r="D18" t="s">
        <v>234</v>
      </c>
    </row>
    <row r="21" spans="1:13" ht="15" thickBot="1" x14ac:dyDescent="0.35"/>
    <row r="22" spans="1:13" ht="15" thickBot="1" x14ac:dyDescent="0.35">
      <c r="C22" s="182" t="s">
        <v>10</v>
      </c>
      <c r="D22" s="183"/>
      <c r="E22" s="183"/>
      <c r="F22" s="183"/>
      <c r="G22" s="184"/>
      <c r="I22" s="182" t="s">
        <v>9</v>
      </c>
      <c r="J22" s="183"/>
      <c r="K22" s="183"/>
      <c r="L22" s="183"/>
      <c r="M22" s="184"/>
    </row>
    <row r="24" spans="1:13" s="6" customFormat="1" x14ac:dyDescent="0.3">
      <c r="A24" s="6" t="s">
        <v>233</v>
      </c>
    </row>
    <row r="25" spans="1:13" x14ac:dyDescent="0.3">
      <c r="C25" t="s">
        <v>232</v>
      </c>
    </row>
    <row r="26" spans="1:13" x14ac:dyDescent="0.3">
      <c r="C26" s="18" t="s">
        <v>231</v>
      </c>
      <c r="D26" s="5">
        <v>100000</v>
      </c>
      <c r="I26" s="27">
        <f>D27*1000000/(D26*12)</f>
        <v>1040</v>
      </c>
      <c r="J26" t="s">
        <v>467</v>
      </c>
    </row>
    <row r="27" spans="1:13" x14ac:dyDescent="0.3">
      <c r="C27" s="18" t="s">
        <v>230</v>
      </c>
      <c r="D27" s="5">
        <v>1248</v>
      </c>
      <c r="I27" s="27">
        <f>D28*1000000/(D26*12)</f>
        <v>965</v>
      </c>
      <c r="J27" t="s">
        <v>466</v>
      </c>
    </row>
    <row r="28" spans="1:13" x14ac:dyDescent="0.3">
      <c r="C28" s="18" t="s">
        <v>229</v>
      </c>
      <c r="D28" s="5">
        <v>1158</v>
      </c>
    </row>
    <row r="29" spans="1:13" x14ac:dyDescent="0.3">
      <c r="J29" t="s">
        <v>468</v>
      </c>
    </row>
    <row r="30" spans="1:13" x14ac:dyDescent="0.3">
      <c r="C30" t="s">
        <v>228</v>
      </c>
      <c r="I30" s="27">
        <f>I26*(1+D31)</f>
        <v>1081.6000000000001</v>
      </c>
      <c r="J30" t="s">
        <v>467</v>
      </c>
    </row>
    <row r="31" spans="1:13" x14ac:dyDescent="0.3">
      <c r="C31" s="18" t="s">
        <v>227</v>
      </c>
      <c r="D31" s="49">
        <v>0.04</v>
      </c>
      <c r="I31" s="27">
        <f>I27*(1+D32)</f>
        <v>993.95</v>
      </c>
      <c r="J31" t="s">
        <v>466</v>
      </c>
    </row>
    <row r="32" spans="1:13" x14ac:dyDescent="0.3">
      <c r="C32" s="18" t="s">
        <v>226</v>
      </c>
      <c r="D32" s="49">
        <v>0.03</v>
      </c>
    </row>
    <row r="33" spans="1:17" x14ac:dyDescent="0.3">
      <c r="C33" s="18" t="s">
        <v>225</v>
      </c>
      <c r="D33" s="49">
        <v>0.05</v>
      </c>
      <c r="I33" s="56">
        <f>D26*(1+D33)</f>
        <v>105000</v>
      </c>
      <c r="J33" t="s">
        <v>464</v>
      </c>
    </row>
    <row r="35" spans="1:17" x14ac:dyDescent="0.3">
      <c r="I35" s="6" t="s">
        <v>463</v>
      </c>
      <c r="J35" s="6"/>
    </row>
    <row r="36" spans="1:17" x14ac:dyDescent="0.3">
      <c r="I36" s="27">
        <f>I30*I33*12</f>
        <v>1362816000.0000002</v>
      </c>
      <c r="J36" t="s">
        <v>462</v>
      </c>
    </row>
    <row r="37" spans="1:17" x14ac:dyDescent="0.3">
      <c r="I37" s="27">
        <f>I31*I33*12</f>
        <v>1252377000</v>
      </c>
      <c r="J37" t="s">
        <v>461</v>
      </c>
    </row>
    <row r="38" spans="1:17" x14ac:dyDescent="0.3">
      <c r="I38" s="95">
        <f>C12*I33*12</f>
        <v>88200000</v>
      </c>
      <c r="J38" s="6" t="s">
        <v>460</v>
      </c>
    </row>
    <row r="39" spans="1:17" x14ac:dyDescent="0.3">
      <c r="I39" s="27">
        <f>I36-I37-I38</f>
        <v>22239000.000000238</v>
      </c>
      <c r="J39" t="s">
        <v>458</v>
      </c>
    </row>
    <row r="41" spans="1:17" x14ac:dyDescent="0.3">
      <c r="I41" s="89">
        <f>C13*I39</f>
        <v>11119500.000000119</v>
      </c>
      <c r="J41" t="s">
        <v>457</v>
      </c>
      <c r="K41" s="23" t="s">
        <v>456</v>
      </c>
      <c r="L41" s="23"/>
      <c r="M41" s="23"/>
      <c r="N41" s="23"/>
      <c r="O41" s="23"/>
      <c r="P41" s="23"/>
      <c r="Q41" s="23"/>
    </row>
    <row r="44" spans="1:17" s="6" customFormat="1" x14ac:dyDescent="0.3">
      <c r="A44" s="6" t="s">
        <v>117</v>
      </c>
    </row>
    <row r="45" spans="1:17" ht="15" thickBot="1" x14ac:dyDescent="0.35"/>
    <row r="46" spans="1:17" ht="15" thickBot="1" x14ac:dyDescent="0.35">
      <c r="C46" s="182" t="s">
        <v>16</v>
      </c>
      <c r="D46" s="183"/>
      <c r="E46" s="183"/>
      <c r="F46" s="184"/>
      <c r="I46" s="182" t="s">
        <v>9</v>
      </c>
      <c r="J46" s="183"/>
      <c r="K46" s="183"/>
      <c r="L46" s="183"/>
      <c r="M46" s="184"/>
    </row>
    <row r="48" spans="1:17" x14ac:dyDescent="0.3">
      <c r="C48">
        <v>5</v>
      </c>
      <c r="D48" t="s">
        <v>224</v>
      </c>
    </row>
    <row r="49" spans="3:13" x14ac:dyDescent="0.3">
      <c r="C49">
        <v>0.01</v>
      </c>
      <c r="D49" t="s">
        <v>223</v>
      </c>
    </row>
    <row r="52" spans="3:13" x14ac:dyDescent="0.3">
      <c r="I52" s="27">
        <f>D27*1000000/(D26*12)</f>
        <v>1040</v>
      </c>
      <c r="J52" t="s">
        <v>467</v>
      </c>
    </row>
    <row r="53" spans="3:13" x14ac:dyDescent="0.3">
      <c r="I53" s="27">
        <f>D28*1000000/(D26*12)</f>
        <v>965</v>
      </c>
      <c r="J53" t="s">
        <v>466</v>
      </c>
    </row>
    <row r="55" spans="3:13" x14ac:dyDescent="0.3">
      <c r="J55" t="s">
        <v>468</v>
      </c>
    </row>
    <row r="56" spans="3:13" x14ac:dyDescent="0.3">
      <c r="I56" s="27">
        <f>I52*(1+D31)</f>
        <v>1081.6000000000001</v>
      </c>
      <c r="J56" t="s">
        <v>467</v>
      </c>
    </row>
    <row r="57" spans="3:13" x14ac:dyDescent="0.3">
      <c r="I57" s="27">
        <f>I53*(1+D32-C49)</f>
        <v>984.30000000000007</v>
      </c>
      <c r="J57" t="s">
        <v>466</v>
      </c>
      <c r="K57" s="23" t="s">
        <v>465</v>
      </c>
      <c r="L57" s="23"/>
      <c r="M57" s="23"/>
    </row>
    <row r="59" spans="3:13" x14ac:dyDescent="0.3">
      <c r="I59" s="56">
        <f>D26*(1+D33)</f>
        <v>105000</v>
      </c>
      <c r="J59" t="s">
        <v>464</v>
      </c>
    </row>
    <row r="61" spans="3:13" x14ac:dyDescent="0.3">
      <c r="I61" s="6" t="s">
        <v>463</v>
      </c>
      <c r="J61" s="6"/>
    </row>
    <row r="62" spans="3:13" x14ac:dyDescent="0.3">
      <c r="I62" s="27">
        <f>I56*I59*12</f>
        <v>1362816000.0000002</v>
      </c>
      <c r="J62" t="s">
        <v>462</v>
      </c>
    </row>
    <row r="63" spans="3:13" x14ac:dyDescent="0.3">
      <c r="I63" s="27">
        <f>I57*I59*12</f>
        <v>1240218000</v>
      </c>
      <c r="J63" t="s">
        <v>461</v>
      </c>
    </row>
    <row r="64" spans="3:13" x14ac:dyDescent="0.3">
      <c r="I64" s="95">
        <f>(C12+C48)*I59*12</f>
        <v>94500000</v>
      </c>
      <c r="J64" s="6" t="s">
        <v>460</v>
      </c>
      <c r="K64" s="23" t="s">
        <v>459</v>
      </c>
      <c r="L64" s="23"/>
      <c r="M64" s="23"/>
    </row>
    <row r="65" spans="9:22" x14ac:dyDescent="0.3">
      <c r="I65" s="27">
        <f>I62-I63-I64</f>
        <v>28098000.000000238</v>
      </c>
      <c r="J65" t="s">
        <v>458</v>
      </c>
    </row>
    <row r="67" spans="9:22" x14ac:dyDescent="0.3">
      <c r="I67" s="27">
        <f>C13*I65</f>
        <v>14049000.000000119</v>
      </c>
      <c r="J67" t="s">
        <v>457</v>
      </c>
      <c r="K67" s="23" t="s">
        <v>456</v>
      </c>
      <c r="L67" s="23"/>
      <c r="M67" s="23"/>
      <c r="N67" s="23"/>
      <c r="O67" s="23"/>
      <c r="P67" s="23"/>
      <c r="Q67" s="23"/>
      <c r="V67" s="27"/>
    </row>
    <row r="68" spans="9:22" x14ac:dyDescent="0.3">
      <c r="V68" s="27"/>
    </row>
    <row r="69" spans="9:22" x14ac:dyDescent="0.3">
      <c r="V69" s="27"/>
    </row>
    <row r="70" spans="9:22" x14ac:dyDescent="0.3">
      <c r="I70" s="27">
        <f>I39-I41</f>
        <v>11119500.000000119</v>
      </c>
      <c r="J70" t="s">
        <v>455</v>
      </c>
      <c r="V70" s="27"/>
    </row>
    <row r="71" spans="9:22" x14ac:dyDescent="0.3">
      <c r="I71" s="27">
        <f>I65-I67</f>
        <v>14049000.000000119</v>
      </c>
      <c r="J71" t="s">
        <v>454</v>
      </c>
    </row>
    <row r="73" spans="9:22" x14ac:dyDescent="0.3">
      <c r="I73" s="89">
        <f>I71-I70</f>
        <v>2929500</v>
      </c>
      <c r="J73" s="23" t="s">
        <v>453</v>
      </c>
      <c r="K73" s="23"/>
      <c r="L73" s="23"/>
      <c r="M73" s="23"/>
      <c r="N73" s="23"/>
      <c r="O73" s="23"/>
      <c r="P73" s="23"/>
      <c r="Q73" s="23"/>
    </row>
    <row r="78" spans="9:22" x14ac:dyDescent="0.3">
      <c r="I78" s="27"/>
    </row>
    <row r="79" spans="9:22" x14ac:dyDescent="0.3">
      <c r="I79" s="27"/>
    </row>
    <row r="80" spans="9:22" x14ac:dyDescent="0.3">
      <c r="I80" s="27"/>
    </row>
    <row r="81" spans="9:9" x14ac:dyDescent="0.3">
      <c r="I81" s="56"/>
    </row>
  </sheetData>
  <mergeCells count="5">
    <mergeCell ref="C10:F10"/>
    <mergeCell ref="C22:G22"/>
    <mergeCell ref="I22:M22"/>
    <mergeCell ref="C46:F46"/>
    <mergeCell ref="I46:M46"/>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8ADC8-D8B6-4A36-98F5-1370DAF84E43}">
  <sheetPr>
    <tabColor theme="5" tint="0.39997558519241921"/>
  </sheetPr>
  <dimension ref="A1:M86"/>
  <sheetViews>
    <sheetView workbookViewId="0">
      <selection activeCell="K41" sqref="K41"/>
    </sheetView>
  </sheetViews>
  <sheetFormatPr defaultRowHeight="14.4" x14ac:dyDescent="0.3"/>
  <cols>
    <col min="3" max="3" width="12.109375" bestFit="1" customWidth="1"/>
    <col min="4" max="4" width="11.33203125" customWidth="1"/>
    <col min="10" max="10" width="12.109375" bestFit="1" customWidth="1"/>
    <col min="11" max="11" width="11.109375" bestFit="1" customWidth="1"/>
    <col min="12" max="12" width="13" customWidth="1"/>
    <col min="13" max="13" width="19.88671875" customWidth="1"/>
    <col min="14" max="14" width="16.33203125" customWidth="1"/>
    <col min="15" max="15" width="14.33203125" bestFit="1" customWidth="1"/>
    <col min="17" max="17" width="13.88671875" customWidth="1"/>
    <col min="18" max="18" width="12.6640625" customWidth="1"/>
    <col min="19" max="19" width="11.33203125" bestFit="1" customWidth="1"/>
    <col min="20" max="20" width="12.88671875" customWidth="1"/>
  </cols>
  <sheetData>
    <row r="1" spans="1:8" ht="15" thickBot="1" x14ac:dyDescent="0.35">
      <c r="A1" t="s">
        <v>261</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C12" t="s">
        <v>260</v>
      </c>
    </row>
    <row r="13" spans="1:8" x14ac:dyDescent="0.3">
      <c r="C13" t="s">
        <v>259</v>
      </c>
    </row>
    <row r="15" spans="1:8" x14ac:dyDescent="0.3">
      <c r="C15" t="s">
        <v>258</v>
      </c>
    </row>
    <row r="16" spans="1:8" x14ac:dyDescent="0.3">
      <c r="C16">
        <v>0.5</v>
      </c>
      <c r="D16" t="s">
        <v>257</v>
      </c>
    </row>
    <row r="17" spans="3:13" x14ac:dyDescent="0.3">
      <c r="C17" s="27">
        <v>100000000</v>
      </c>
      <c r="D17" t="s">
        <v>256</v>
      </c>
    </row>
    <row r="18" spans="3:13" x14ac:dyDescent="0.3">
      <c r="C18">
        <v>0.02</v>
      </c>
      <c r="D18" t="s">
        <v>251</v>
      </c>
    </row>
    <row r="20" spans="3:13" x14ac:dyDescent="0.3">
      <c r="C20" t="s">
        <v>255</v>
      </c>
    </row>
    <row r="21" spans="3:13" x14ac:dyDescent="0.3">
      <c r="D21" t="s">
        <v>254</v>
      </c>
    </row>
    <row r="22" spans="3:13" x14ac:dyDescent="0.3">
      <c r="C22">
        <v>0.6</v>
      </c>
      <c r="D22" t="s">
        <v>253</v>
      </c>
    </row>
    <row r="23" spans="3:13" x14ac:dyDescent="0.3">
      <c r="C23">
        <v>0.5</v>
      </c>
      <c r="D23" t="s">
        <v>252</v>
      </c>
    </row>
    <row r="24" spans="3:13" x14ac:dyDescent="0.3">
      <c r="C24">
        <v>0.02</v>
      </c>
      <c r="D24" t="s">
        <v>251</v>
      </c>
    </row>
    <row r="25" spans="3:13" x14ac:dyDescent="0.3">
      <c r="C25">
        <v>0.02</v>
      </c>
      <c r="D25" t="s">
        <v>250</v>
      </c>
    </row>
    <row r="26" spans="3:13" ht="15" thickBot="1" x14ac:dyDescent="0.35"/>
    <row r="27" spans="3:13" ht="15" thickBot="1" x14ac:dyDescent="0.35">
      <c r="C27" s="182" t="s">
        <v>10</v>
      </c>
      <c r="D27" s="183"/>
      <c r="E27" s="183"/>
      <c r="F27" s="183"/>
      <c r="G27" s="184"/>
      <c r="I27" s="182" t="s">
        <v>9</v>
      </c>
      <c r="J27" s="183"/>
      <c r="K27" s="183"/>
      <c r="L27" s="183"/>
      <c r="M27" s="184"/>
    </row>
    <row r="30" spans="3:13" x14ac:dyDescent="0.3">
      <c r="C30" t="s">
        <v>44</v>
      </c>
      <c r="D30" t="s">
        <v>246</v>
      </c>
    </row>
    <row r="31" spans="3:13" x14ac:dyDescent="0.3">
      <c r="C31">
        <v>2016</v>
      </c>
      <c r="D31">
        <v>0.1</v>
      </c>
    </row>
    <row r="32" spans="3:13" x14ac:dyDescent="0.3">
      <c r="C32">
        <v>2017</v>
      </c>
      <c r="D32">
        <v>0.3</v>
      </c>
    </row>
    <row r="33" spans="2:5" x14ac:dyDescent="0.3">
      <c r="C33">
        <v>2018</v>
      </c>
      <c r="D33">
        <v>0.6</v>
      </c>
    </row>
    <row r="35" spans="2:5" x14ac:dyDescent="0.3">
      <c r="C35" t="s">
        <v>44</v>
      </c>
      <c r="D35" t="s">
        <v>245</v>
      </c>
      <c r="E35" t="s">
        <v>244</v>
      </c>
    </row>
    <row r="36" spans="2:5" x14ac:dyDescent="0.3">
      <c r="C36">
        <v>2016</v>
      </c>
      <c r="D36" s="27">
        <v>96000000</v>
      </c>
      <c r="E36">
        <v>0.9</v>
      </c>
    </row>
    <row r="37" spans="2:5" x14ac:dyDescent="0.3">
      <c r="C37">
        <v>2017</v>
      </c>
      <c r="D37" s="27">
        <f>D36</f>
        <v>96000000</v>
      </c>
      <c r="E37">
        <f>E36</f>
        <v>0.9</v>
      </c>
    </row>
    <row r="38" spans="2:5" x14ac:dyDescent="0.3">
      <c r="C38">
        <v>2018</v>
      </c>
      <c r="D38" s="27">
        <f>D37</f>
        <v>96000000</v>
      </c>
      <c r="E38">
        <f>E37</f>
        <v>0.9</v>
      </c>
    </row>
    <row r="39" spans="2:5" x14ac:dyDescent="0.3">
      <c r="C39">
        <v>2019</v>
      </c>
      <c r="D39" s="27">
        <v>94000000</v>
      </c>
      <c r="E39">
        <v>0.8</v>
      </c>
    </row>
    <row r="40" spans="2:5" x14ac:dyDescent="0.3">
      <c r="C40">
        <v>2020</v>
      </c>
      <c r="D40" s="27">
        <f>D39</f>
        <v>94000000</v>
      </c>
      <c r="E40">
        <f>E39</f>
        <v>0.8</v>
      </c>
    </row>
    <row r="41" spans="2:5" x14ac:dyDescent="0.3">
      <c r="C41">
        <v>2021</v>
      </c>
      <c r="D41" s="27">
        <v>98000000</v>
      </c>
      <c r="E41">
        <f>E40</f>
        <v>0.8</v>
      </c>
    </row>
    <row r="43" spans="2:5" s="6" customFormat="1" x14ac:dyDescent="0.3">
      <c r="B43" s="6" t="s">
        <v>249</v>
      </c>
    </row>
    <row r="45" spans="2:5" x14ac:dyDescent="0.3">
      <c r="C45" t="s">
        <v>44</v>
      </c>
      <c r="D45" t="s">
        <v>246</v>
      </c>
    </row>
    <row r="46" spans="2:5" x14ac:dyDescent="0.3">
      <c r="C46">
        <v>2016</v>
      </c>
      <c r="D46">
        <v>0.1</v>
      </c>
    </row>
    <row r="47" spans="2:5" x14ac:dyDescent="0.3">
      <c r="C47">
        <v>2017</v>
      </c>
      <c r="D47">
        <v>0.3</v>
      </c>
    </row>
    <row r="48" spans="2:5" x14ac:dyDescent="0.3">
      <c r="C48">
        <v>2018</v>
      </c>
      <c r="D48">
        <v>0.6</v>
      </c>
    </row>
    <row r="50" spans="2:5" x14ac:dyDescent="0.3">
      <c r="C50" t="s">
        <v>44</v>
      </c>
      <c r="D50" t="s">
        <v>245</v>
      </c>
      <c r="E50" t="s">
        <v>244</v>
      </c>
    </row>
    <row r="51" spans="2:5" x14ac:dyDescent="0.3">
      <c r="C51">
        <v>2016</v>
      </c>
      <c r="D51" s="27">
        <v>96000000</v>
      </c>
      <c r="E51">
        <v>0.9</v>
      </c>
    </row>
    <row r="52" spans="2:5" x14ac:dyDescent="0.3">
      <c r="C52">
        <v>2017</v>
      </c>
      <c r="D52" s="27">
        <f>D51</f>
        <v>96000000</v>
      </c>
      <c r="E52">
        <f>E51</f>
        <v>0.9</v>
      </c>
    </row>
    <row r="53" spans="2:5" x14ac:dyDescent="0.3">
      <c r="C53">
        <v>2018</v>
      </c>
      <c r="D53" s="27">
        <f>D52</f>
        <v>96000000</v>
      </c>
      <c r="E53">
        <f>E52</f>
        <v>0.9</v>
      </c>
    </row>
    <row r="54" spans="2:5" x14ac:dyDescent="0.3">
      <c r="C54">
        <v>2019</v>
      </c>
      <c r="D54" s="27">
        <v>94000000</v>
      </c>
      <c r="E54">
        <v>0.8</v>
      </c>
    </row>
    <row r="55" spans="2:5" x14ac:dyDescent="0.3">
      <c r="C55">
        <v>2020</v>
      </c>
      <c r="D55" s="27">
        <f>D54</f>
        <v>94000000</v>
      </c>
      <c r="E55">
        <f>E54</f>
        <v>0.8</v>
      </c>
    </row>
    <row r="56" spans="2:5" x14ac:dyDescent="0.3">
      <c r="C56">
        <v>2021</v>
      </c>
      <c r="D56" s="27">
        <v>98000000</v>
      </c>
      <c r="E56">
        <f>E55</f>
        <v>0.8</v>
      </c>
    </row>
    <row r="58" spans="2:5" s="6" customFormat="1" x14ac:dyDescent="0.3">
      <c r="B58" s="6" t="s">
        <v>248</v>
      </c>
    </row>
    <row r="60" spans="2:5" x14ac:dyDescent="0.3">
      <c r="C60" t="s">
        <v>44</v>
      </c>
      <c r="D60" t="s">
        <v>246</v>
      </c>
    </row>
    <row r="61" spans="2:5" x14ac:dyDescent="0.3">
      <c r="C61">
        <v>2016</v>
      </c>
      <c r="D61">
        <v>0.1</v>
      </c>
    </row>
    <row r="62" spans="2:5" x14ac:dyDescent="0.3">
      <c r="C62">
        <v>2017</v>
      </c>
      <c r="D62">
        <v>0.3</v>
      </c>
    </row>
    <row r="63" spans="2:5" x14ac:dyDescent="0.3">
      <c r="C63">
        <v>2018</v>
      </c>
      <c r="D63">
        <v>0.6</v>
      </c>
    </row>
    <row r="65" spans="2:5" x14ac:dyDescent="0.3">
      <c r="C65" t="s">
        <v>44</v>
      </c>
      <c r="D65" t="s">
        <v>245</v>
      </c>
      <c r="E65" t="s">
        <v>244</v>
      </c>
    </row>
    <row r="66" spans="2:5" x14ac:dyDescent="0.3">
      <c r="C66">
        <v>2016</v>
      </c>
      <c r="D66" s="27">
        <v>96000000</v>
      </c>
      <c r="E66">
        <v>0.9</v>
      </c>
    </row>
    <row r="67" spans="2:5" x14ac:dyDescent="0.3">
      <c r="C67">
        <v>2017</v>
      </c>
      <c r="D67" s="27">
        <f>D66</f>
        <v>96000000</v>
      </c>
      <c r="E67">
        <f>E66</f>
        <v>0.9</v>
      </c>
    </row>
    <row r="68" spans="2:5" x14ac:dyDescent="0.3">
      <c r="C68">
        <v>2018</v>
      </c>
      <c r="D68" s="27">
        <f>D67</f>
        <v>96000000</v>
      </c>
      <c r="E68">
        <f>E67</f>
        <v>0.9</v>
      </c>
    </row>
    <row r="69" spans="2:5" x14ac:dyDescent="0.3">
      <c r="C69">
        <v>2019</v>
      </c>
      <c r="D69" s="27">
        <v>94000000</v>
      </c>
      <c r="E69">
        <v>0.8</v>
      </c>
    </row>
    <row r="70" spans="2:5" x14ac:dyDescent="0.3">
      <c r="C70">
        <v>2020</v>
      </c>
      <c r="D70" s="27">
        <f>D69</f>
        <v>94000000</v>
      </c>
      <c r="E70">
        <f>E69</f>
        <v>0.8</v>
      </c>
    </row>
    <row r="71" spans="2:5" x14ac:dyDescent="0.3">
      <c r="C71">
        <v>2021</v>
      </c>
      <c r="D71" s="27">
        <v>98000000</v>
      </c>
      <c r="E71">
        <f>E70</f>
        <v>0.8</v>
      </c>
    </row>
    <row r="73" spans="2:5" s="6" customFormat="1" x14ac:dyDescent="0.3">
      <c r="B73" s="6" t="s">
        <v>247</v>
      </c>
    </row>
    <row r="75" spans="2:5" x14ac:dyDescent="0.3">
      <c r="C75" t="s">
        <v>44</v>
      </c>
      <c r="D75" t="s">
        <v>246</v>
      </c>
    </row>
    <row r="76" spans="2:5" x14ac:dyDescent="0.3">
      <c r="C76">
        <v>2016</v>
      </c>
      <c r="D76">
        <v>0.1</v>
      </c>
    </row>
    <row r="77" spans="2:5" x14ac:dyDescent="0.3">
      <c r="C77">
        <v>2017</v>
      </c>
      <c r="D77">
        <v>0.3</v>
      </c>
    </row>
    <row r="78" spans="2:5" x14ac:dyDescent="0.3">
      <c r="C78">
        <v>2018</v>
      </c>
      <c r="D78">
        <v>0.6</v>
      </c>
    </row>
    <row r="80" spans="2:5" x14ac:dyDescent="0.3">
      <c r="C80" t="s">
        <v>44</v>
      </c>
      <c r="D80" t="s">
        <v>245</v>
      </c>
      <c r="E80" t="s">
        <v>244</v>
      </c>
    </row>
    <row r="81" spans="3:5" x14ac:dyDescent="0.3">
      <c r="C81">
        <v>2016</v>
      </c>
      <c r="D81" s="27">
        <v>96000000</v>
      </c>
      <c r="E81">
        <v>0.9</v>
      </c>
    </row>
    <row r="82" spans="3:5" x14ac:dyDescent="0.3">
      <c r="C82">
        <v>2017</v>
      </c>
      <c r="D82" s="27">
        <f>D81</f>
        <v>96000000</v>
      </c>
      <c r="E82">
        <f>E81</f>
        <v>0.9</v>
      </c>
    </row>
    <row r="83" spans="3:5" x14ac:dyDescent="0.3">
      <c r="C83">
        <v>2018</v>
      </c>
      <c r="D83" s="27">
        <f>D82</f>
        <v>96000000</v>
      </c>
      <c r="E83">
        <f>E82</f>
        <v>0.9</v>
      </c>
    </row>
    <row r="84" spans="3:5" x14ac:dyDescent="0.3">
      <c r="C84">
        <v>2019</v>
      </c>
      <c r="D84" s="27">
        <v>94000000</v>
      </c>
      <c r="E84">
        <v>0.8</v>
      </c>
    </row>
    <row r="85" spans="3:5" x14ac:dyDescent="0.3">
      <c r="C85">
        <v>2020</v>
      </c>
      <c r="D85" s="27">
        <f>D84</f>
        <v>94000000</v>
      </c>
      <c r="E85">
        <f>E84</f>
        <v>0.8</v>
      </c>
    </row>
    <row r="86" spans="3:5" x14ac:dyDescent="0.3">
      <c r="C86">
        <v>2021</v>
      </c>
      <c r="D86" s="27">
        <v>98000000</v>
      </c>
      <c r="E86">
        <f>E85</f>
        <v>0.8</v>
      </c>
    </row>
  </sheetData>
  <mergeCells count="3">
    <mergeCell ref="C10:F10"/>
    <mergeCell ref="C27:G27"/>
    <mergeCell ref="I27:M27"/>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E2A31-ACC7-40F7-8CC9-AD9A3229945D}">
  <sheetPr>
    <tabColor theme="9" tint="0.59999389629810485"/>
  </sheetPr>
  <dimension ref="A1:W86"/>
  <sheetViews>
    <sheetView workbookViewId="0">
      <selection activeCell="A3" sqref="A3"/>
    </sheetView>
  </sheetViews>
  <sheetFormatPr defaultRowHeight="14.4" x14ac:dyDescent="0.3"/>
  <cols>
    <col min="3" max="3" width="12.109375" bestFit="1" customWidth="1"/>
    <col min="4" max="4" width="11.33203125" customWidth="1"/>
    <col min="10" max="10" width="12.109375" bestFit="1" customWidth="1"/>
    <col min="11" max="11" width="11.109375" bestFit="1" customWidth="1"/>
    <col min="12" max="12" width="13" customWidth="1"/>
    <col min="13" max="13" width="19.88671875" customWidth="1"/>
    <col min="14" max="14" width="16.33203125" customWidth="1"/>
    <col min="15" max="15" width="14.33203125" bestFit="1" customWidth="1"/>
    <col min="17" max="17" width="13.88671875" customWidth="1"/>
    <col min="18" max="18" width="12.6640625" customWidth="1"/>
    <col min="19" max="19" width="11.33203125" bestFit="1" customWidth="1"/>
    <col min="20" max="20" width="12.88671875" customWidth="1"/>
  </cols>
  <sheetData>
    <row r="1" spans="1:8" ht="15" thickBot="1" x14ac:dyDescent="0.35">
      <c r="A1" t="s">
        <v>261</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C12" t="s">
        <v>260</v>
      </c>
    </row>
    <row r="13" spans="1:8" x14ac:dyDescent="0.3">
      <c r="C13" t="s">
        <v>259</v>
      </c>
    </row>
    <row r="15" spans="1:8" x14ac:dyDescent="0.3">
      <c r="C15" t="s">
        <v>258</v>
      </c>
    </row>
    <row r="16" spans="1:8" x14ac:dyDescent="0.3">
      <c r="C16">
        <v>0.5</v>
      </c>
      <c r="D16" t="s">
        <v>257</v>
      </c>
    </row>
    <row r="17" spans="3:23" x14ac:dyDescent="0.3">
      <c r="C17" s="27">
        <v>100000000</v>
      </c>
      <c r="D17" t="s">
        <v>256</v>
      </c>
    </row>
    <row r="18" spans="3:23" x14ac:dyDescent="0.3">
      <c r="C18">
        <v>0.02</v>
      </c>
      <c r="D18" t="s">
        <v>251</v>
      </c>
    </row>
    <row r="20" spans="3:23" x14ac:dyDescent="0.3">
      <c r="C20" t="s">
        <v>255</v>
      </c>
    </row>
    <row r="21" spans="3:23" x14ac:dyDescent="0.3">
      <c r="D21" t="s">
        <v>254</v>
      </c>
    </row>
    <row r="22" spans="3:23" x14ac:dyDescent="0.3">
      <c r="C22">
        <v>0.6</v>
      </c>
      <c r="D22" t="s">
        <v>253</v>
      </c>
    </row>
    <row r="23" spans="3:23" x14ac:dyDescent="0.3">
      <c r="C23">
        <v>0.5</v>
      </c>
      <c r="D23" t="s">
        <v>252</v>
      </c>
    </row>
    <row r="24" spans="3:23" x14ac:dyDescent="0.3">
      <c r="C24">
        <v>0.02</v>
      </c>
      <c r="D24" t="s">
        <v>251</v>
      </c>
    </row>
    <row r="25" spans="3:23" x14ac:dyDescent="0.3">
      <c r="C25">
        <v>0.02</v>
      </c>
      <c r="D25" t="s">
        <v>250</v>
      </c>
    </row>
    <row r="26" spans="3:23" ht="15" thickBot="1" x14ac:dyDescent="0.35"/>
    <row r="27" spans="3:23" ht="15" thickBot="1" x14ac:dyDescent="0.35">
      <c r="C27" s="182" t="s">
        <v>10</v>
      </c>
      <c r="D27" s="183"/>
      <c r="E27" s="183"/>
      <c r="F27" s="183"/>
      <c r="G27" s="184"/>
      <c r="I27" s="182" t="s">
        <v>9</v>
      </c>
      <c r="J27" s="183"/>
      <c r="K27" s="183"/>
      <c r="L27" s="183"/>
      <c r="M27" s="184"/>
    </row>
    <row r="28" spans="3:23" x14ac:dyDescent="0.3">
      <c r="S28" t="s">
        <v>37</v>
      </c>
    </row>
    <row r="30" spans="3:23" x14ac:dyDescent="0.3">
      <c r="C30" t="s">
        <v>44</v>
      </c>
      <c r="D30" t="s">
        <v>246</v>
      </c>
      <c r="I30" t="s">
        <v>44</v>
      </c>
      <c r="J30" t="s">
        <v>479</v>
      </c>
      <c r="K30" t="s">
        <v>226</v>
      </c>
      <c r="L30" t="s">
        <v>402</v>
      </c>
      <c r="M30" t="s">
        <v>475</v>
      </c>
      <c r="N30" t="s">
        <v>474</v>
      </c>
      <c r="O30" t="s">
        <v>473</v>
      </c>
      <c r="S30" t="s">
        <v>471</v>
      </c>
    </row>
    <row r="31" spans="3:23" x14ac:dyDescent="0.3">
      <c r="C31">
        <v>2016</v>
      </c>
      <c r="D31">
        <v>0.1</v>
      </c>
      <c r="I31">
        <v>2016</v>
      </c>
      <c r="J31" s="27">
        <f>$C$17</f>
        <v>100000000</v>
      </c>
      <c r="K31" s="27">
        <f t="shared" ref="K31:K36" si="0">D36</f>
        <v>96000000</v>
      </c>
      <c r="L31" s="27">
        <f t="shared" ref="L31:L36" si="1">J31-K31</f>
        <v>4000000</v>
      </c>
      <c r="M31">
        <f>$C$16*E36</f>
        <v>0.45</v>
      </c>
      <c r="N31" t="s">
        <v>470</v>
      </c>
      <c r="O31" s="89">
        <f>IF(T31,M31*L31,0)</f>
        <v>1800000</v>
      </c>
      <c r="S31" s="27">
        <f>J31*$C$18</f>
        <v>2000000</v>
      </c>
      <c r="T31" t="b">
        <f>L31&gt;S31</f>
        <v>1</v>
      </c>
      <c r="W31">
        <f t="shared" ref="W31:W36" si="2">O31/J31</f>
        <v>1.7999999999999999E-2</v>
      </c>
    </row>
    <row r="32" spans="3:23" x14ac:dyDescent="0.3">
      <c r="C32">
        <v>2017</v>
      </c>
      <c r="D32">
        <v>0.3</v>
      </c>
      <c r="I32">
        <v>2017</v>
      </c>
      <c r="J32" s="27">
        <f>$C$17</f>
        <v>100000000</v>
      </c>
      <c r="K32" s="27">
        <f t="shared" si="0"/>
        <v>96000000</v>
      </c>
      <c r="L32" s="27">
        <f t="shared" si="1"/>
        <v>4000000</v>
      </c>
      <c r="M32">
        <f>$C$16*E37</f>
        <v>0.45</v>
      </c>
      <c r="N32" t="s">
        <v>470</v>
      </c>
      <c r="O32" s="89">
        <f>IF(T32,M32*L32,0)</f>
        <v>1800000</v>
      </c>
      <c r="S32" s="27">
        <f>J32*$C$18</f>
        <v>2000000</v>
      </c>
      <c r="T32" t="b">
        <f>L32&gt;S32</f>
        <v>1</v>
      </c>
      <c r="W32">
        <f t="shared" si="2"/>
        <v>1.7999999999999999E-2</v>
      </c>
    </row>
    <row r="33" spans="2:23" x14ac:dyDescent="0.3">
      <c r="C33">
        <v>2018</v>
      </c>
      <c r="D33">
        <v>0.6</v>
      </c>
      <c r="I33">
        <v>2018</v>
      </c>
      <c r="J33" s="27">
        <f>$C$17</f>
        <v>100000000</v>
      </c>
      <c r="K33" s="27">
        <f t="shared" si="0"/>
        <v>96000000</v>
      </c>
      <c r="L33" s="27">
        <f t="shared" si="1"/>
        <v>4000000</v>
      </c>
      <c r="M33">
        <f>$C$16*E38</f>
        <v>0.45</v>
      </c>
      <c r="N33" t="s">
        <v>470</v>
      </c>
      <c r="O33" s="89">
        <f>IF(T33,M33*L33,0)</f>
        <v>1800000</v>
      </c>
      <c r="S33" s="27">
        <f>J33*$C$18</f>
        <v>2000000</v>
      </c>
      <c r="T33" t="b">
        <f>L33&gt;S33</f>
        <v>1</v>
      </c>
      <c r="W33">
        <f t="shared" si="2"/>
        <v>1.7999999999999999E-2</v>
      </c>
    </row>
    <row r="34" spans="2:23" x14ac:dyDescent="0.3">
      <c r="I34">
        <v>2019</v>
      </c>
      <c r="J34" s="27">
        <f>SUMPRODUCT(D31:D33,K31:K33)</f>
        <v>96000000</v>
      </c>
      <c r="K34" s="27">
        <f t="shared" si="0"/>
        <v>94000000</v>
      </c>
      <c r="L34" s="27">
        <f t="shared" si="1"/>
        <v>2000000</v>
      </c>
      <c r="M34">
        <f>$C$22*E39</f>
        <v>0.48</v>
      </c>
      <c r="N34">
        <f>C23</f>
        <v>0.5</v>
      </c>
      <c r="O34" s="89">
        <f>IF(T34,M34*L34,0)</f>
        <v>960000</v>
      </c>
      <c r="S34" s="27">
        <f>J34*$C$24</f>
        <v>1920000</v>
      </c>
      <c r="T34" t="b">
        <f>L34&gt;S34</f>
        <v>1</v>
      </c>
      <c r="W34">
        <f t="shared" si="2"/>
        <v>0.01</v>
      </c>
    </row>
    <row r="35" spans="2:23" x14ac:dyDescent="0.3">
      <c r="C35" t="s">
        <v>44</v>
      </c>
      <c r="D35" t="s">
        <v>245</v>
      </c>
      <c r="E35" t="s">
        <v>244</v>
      </c>
      <c r="I35">
        <v>2020</v>
      </c>
      <c r="J35" s="27">
        <f>J34</f>
        <v>96000000</v>
      </c>
      <c r="K35" s="27">
        <f t="shared" si="0"/>
        <v>94000000</v>
      </c>
      <c r="L35" s="27">
        <f t="shared" si="1"/>
        <v>2000000</v>
      </c>
      <c r="M35">
        <f>$C$22*E40</f>
        <v>0.48</v>
      </c>
      <c r="N35">
        <f>C23</f>
        <v>0.5</v>
      </c>
      <c r="O35" s="89">
        <f>IF(T35,M35*L35,0)</f>
        <v>960000</v>
      </c>
      <c r="S35" s="27">
        <f>J35*$C$24</f>
        <v>1920000</v>
      </c>
      <c r="T35" t="b">
        <f>L35&gt;S35</f>
        <v>1</v>
      </c>
      <c r="W35">
        <f t="shared" si="2"/>
        <v>0.01</v>
      </c>
    </row>
    <row r="36" spans="2:23" x14ac:dyDescent="0.3">
      <c r="C36">
        <v>2016</v>
      </c>
      <c r="D36" s="27">
        <v>96000000</v>
      </c>
      <c r="E36">
        <v>0.9</v>
      </c>
      <c r="I36" s="6">
        <v>2021</v>
      </c>
      <c r="J36" s="72">
        <f>J35</f>
        <v>96000000</v>
      </c>
      <c r="K36" s="72">
        <f t="shared" si="0"/>
        <v>98000000</v>
      </c>
      <c r="L36" s="72">
        <f t="shared" si="1"/>
        <v>-2000000</v>
      </c>
      <c r="M36" s="6">
        <f>$C$22*E41</f>
        <v>0.48</v>
      </c>
      <c r="N36" s="6">
        <f>C23</f>
        <v>0.5</v>
      </c>
      <c r="O36" s="89">
        <f>IF(T36,N36*L36,0)</f>
        <v>-1000000</v>
      </c>
      <c r="P36" t="s">
        <v>480</v>
      </c>
      <c r="S36" s="27">
        <f>-J36*$C$25</f>
        <v>-1920000</v>
      </c>
      <c r="T36" t="b">
        <f>L36&lt;S36</f>
        <v>1</v>
      </c>
      <c r="U36" t="s">
        <v>469</v>
      </c>
      <c r="W36">
        <f t="shared" si="2"/>
        <v>-1.0416666666666666E-2</v>
      </c>
    </row>
    <row r="37" spans="2:23" x14ac:dyDescent="0.3">
      <c r="C37">
        <v>2017</v>
      </c>
      <c r="D37" s="27">
        <f>D36</f>
        <v>96000000</v>
      </c>
      <c r="E37">
        <f>E36</f>
        <v>0.9</v>
      </c>
      <c r="O37" s="27">
        <f>SUM(O31:O36)</f>
        <v>6320000</v>
      </c>
    </row>
    <row r="38" spans="2:23" x14ac:dyDescent="0.3">
      <c r="C38">
        <v>2018</v>
      </c>
      <c r="D38" s="27">
        <f>D37</f>
        <v>96000000</v>
      </c>
      <c r="E38">
        <f>E37</f>
        <v>0.9</v>
      </c>
    </row>
    <row r="39" spans="2:23" x14ac:dyDescent="0.3">
      <c r="C39">
        <v>2019</v>
      </c>
      <c r="D39" s="27">
        <v>94000000</v>
      </c>
      <c r="E39">
        <v>0.8</v>
      </c>
    </row>
    <row r="40" spans="2:23" x14ac:dyDescent="0.3">
      <c r="C40">
        <v>2020</v>
      </c>
      <c r="D40" s="27">
        <f>D39</f>
        <v>94000000</v>
      </c>
      <c r="E40">
        <f>E39</f>
        <v>0.8</v>
      </c>
    </row>
    <row r="41" spans="2:23" x14ac:dyDescent="0.3">
      <c r="C41">
        <v>2021</v>
      </c>
      <c r="D41" s="27">
        <v>98000000</v>
      </c>
      <c r="E41">
        <f>E40</f>
        <v>0.8</v>
      </c>
    </row>
    <row r="43" spans="2:23" s="6" customFormat="1" x14ac:dyDescent="0.3">
      <c r="B43" s="6" t="s">
        <v>249</v>
      </c>
    </row>
    <row r="45" spans="2:23" x14ac:dyDescent="0.3">
      <c r="C45" t="s">
        <v>44</v>
      </c>
      <c r="D45" t="s">
        <v>246</v>
      </c>
    </row>
    <row r="46" spans="2:23" x14ac:dyDescent="0.3">
      <c r="C46">
        <v>2016</v>
      </c>
      <c r="D46">
        <v>0.1</v>
      </c>
      <c r="T46" t="s">
        <v>37</v>
      </c>
    </row>
    <row r="47" spans="2:23" x14ac:dyDescent="0.3">
      <c r="C47">
        <v>2017</v>
      </c>
      <c r="D47">
        <v>0.3</v>
      </c>
    </row>
    <row r="48" spans="2:23" x14ac:dyDescent="0.3">
      <c r="C48">
        <v>2018</v>
      </c>
      <c r="D48">
        <v>0.6</v>
      </c>
      <c r="I48" t="s">
        <v>44</v>
      </c>
      <c r="J48" t="s">
        <v>479</v>
      </c>
      <c r="K48" t="s">
        <v>478</v>
      </c>
      <c r="L48" t="s">
        <v>477</v>
      </c>
      <c r="M48" t="s">
        <v>476</v>
      </c>
      <c r="N48" t="s">
        <v>402</v>
      </c>
      <c r="O48" t="s">
        <v>475</v>
      </c>
      <c r="P48" t="s">
        <v>474</v>
      </c>
      <c r="Q48" t="s">
        <v>473</v>
      </c>
      <c r="R48" t="s">
        <v>472</v>
      </c>
      <c r="T48" t="s">
        <v>471</v>
      </c>
    </row>
    <row r="49" spans="2:23" x14ac:dyDescent="0.3">
      <c r="I49">
        <v>2016</v>
      </c>
      <c r="J49" s="27">
        <f>$C$17</f>
        <v>100000000</v>
      </c>
      <c r="K49" s="27">
        <f t="shared" ref="K49:K54" si="3">D51</f>
        <v>96000000</v>
      </c>
      <c r="L49" s="27">
        <v>1000000</v>
      </c>
      <c r="M49" s="27">
        <f t="shared" ref="M49:M54" si="4">L49+K49</f>
        <v>97000000</v>
      </c>
      <c r="N49" s="27">
        <f t="shared" ref="N49:N54" si="5">J49-M49</f>
        <v>3000000</v>
      </c>
      <c r="O49">
        <f>$C$16*E51</f>
        <v>0.45</v>
      </c>
      <c r="P49" t="s">
        <v>470</v>
      </c>
      <c r="Q49" s="27">
        <f>IF(U49,O49*N49,0)</f>
        <v>1350000</v>
      </c>
      <c r="R49" s="89">
        <f>Q49-$O$31+L49</f>
        <v>550000</v>
      </c>
      <c r="T49" s="27">
        <f>J49*$C$18</f>
        <v>2000000</v>
      </c>
      <c r="U49" t="b">
        <f>N49&gt;T49</f>
        <v>1</v>
      </c>
      <c r="W49">
        <f t="shared" ref="W49:W54" si="6">Q49/J49</f>
        <v>1.35E-2</v>
      </c>
    </row>
    <row r="50" spans="2:23" x14ac:dyDescent="0.3">
      <c r="C50" t="s">
        <v>44</v>
      </c>
      <c r="D50" t="s">
        <v>245</v>
      </c>
      <c r="E50" t="s">
        <v>244</v>
      </c>
      <c r="I50">
        <v>2017</v>
      </c>
      <c r="J50" s="27">
        <f>$C$17</f>
        <v>100000000</v>
      </c>
      <c r="K50" s="27">
        <f t="shared" si="3"/>
        <v>96000000</v>
      </c>
      <c r="L50" s="27"/>
      <c r="M50" s="27">
        <f t="shared" si="4"/>
        <v>96000000</v>
      </c>
      <c r="N50" s="27">
        <f t="shared" si="5"/>
        <v>4000000</v>
      </c>
      <c r="O50">
        <f>$C$16*E52</f>
        <v>0.45</v>
      </c>
      <c r="P50" t="s">
        <v>470</v>
      </c>
      <c r="Q50" s="27">
        <f>IF(U50,O50*N50,0)</f>
        <v>1800000</v>
      </c>
      <c r="R50" s="89">
        <f>Q50-$O$32+L50</f>
        <v>0</v>
      </c>
      <c r="T50" s="27">
        <f>J50*$C$18</f>
        <v>2000000</v>
      </c>
      <c r="U50" t="b">
        <f>N50&gt;T50</f>
        <v>1</v>
      </c>
      <c r="W50">
        <f t="shared" si="6"/>
        <v>1.7999999999999999E-2</v>
      </c>
    </row>
    <row r="51" spans="2:23" x14ac:dyDescent="0.3">
      <c r="C51">
        <v>2016</v>
      </c>
      <c r="D51" s="27">
        <v>96000000</v>
      </c>
      <c r="E51">
        <v>0.9</v>
      </c>
      <c r="I51">
        <v>2018</v>
      </c>
      <c r="J51" s="27">
        <f>$C$17</f>
        <v>100000000</v>
      </c>
      <c r="K51" s="27">
        <f t="shared" si="3"/>
        <v>96000000</v>
      </c>
      <c r="L51" s="27"/>
      <c r="M51" s="27">
        <f t="shared" si="4"/>
        <v>96000000</v>
      </c>
      <c r="N51" s="27">
        <f t="shared" si="5"/>
        <v>4000000</v>
      </c>
      <c r="O51">
        <f>$C$16*E53</f>
        <v>0.45</v>
      </c>
      <c r="P51" t="s">
        <v>470</v>
      </c>
      <c r="Q51" s="27">
        <f>IF(U51,O51*N51,0)</f>
        <v>1800000</v>
      </c>
      <c r="R51" s="89">
        <f>Q51-$O$33+L51</f>
        <v>0</v>
      </c>
      <c r="T51" s="27">
        <f>J51*$C$18</f>
        <v>2000000</v>
      </c>
      <c r="U51" t="b">
        <f>N51&gt;T51</f>
        <v>1</v>
      </c>
      <c r="W51">
        <f t="shared" si="6"/>
        <v>1.7999999999999999E-2</v>
      </c>
    </row>
    <row r="52" spans="2:23" x14ac:dyDescent="0.3">
      <c r="C52">
        <v>2017</v>
      </c>
      <c r="D52" s="27">
        <f>D51</f>
        <v>96000000</v>
      </c>
      <c r="E52">
        <f>E51</f>
        <v>0.9</v>
      </c>
      <c r="I52">
        <v>2019</v>
      </c>
      <c r="J52" s="27">
        <f>SUMPRODUCT(D46:D48,M49:M51)</f>
        <v>96100000</v>
      </c>
      <c r="K52" s="27">
        <f t="shared" si="3"/>
        <v>94000000</v>
      </c>
      <c r="L52" s="27"/>
      <c r="M52" s="27">
        <f t="shared" si="4"/>
        <v>94000000</v>
      </c>
      <c r="N52" s="27">
        <f t="shared" si="5"/>
        <v>2100000</v>
      </c>
      <c r="O52">
        <f>$C$22*E54</f>
        <v>0.48</v>
      </c>
      <c r="P52">
        <f>$C$23</f>
        <v>0.5</v>
      </c>
      <c r="Q52" s="27">
        <f>IF(U52,O52*N52,0)</f>
        <v>1008000</v>
      </c>
      <c r="R52" s="89">
        <f>Q52-$O$34+L52</f>
        <v>48000</v>
      </c>
      <c r="T52" s="27">
        <f>J52*$C$24</f>
        <v>1922000</v>
      </c>
      <c r="U52" t="b">
        <f>N52&gt;T52</f>
        <v>1</v>
      </c>
      <c r="W52">
        <f t="shared" si="6"/>
        <v>1.0489073881373569E-2</v>
      </c>
    </row>
    <row r="53" spans="2:23" x14ac:dyDescent="0.3">
      <c r="C53">
        <v>2018</v>
      </c>
      <c r="D53" s="27">
        <f>D52</f>
        <v>96000000</v>
      </c>
      <c r="E53">
        <f>E52</f>
        <v>0.9</v>
      </c>
      <c r="I53">
        <v>2020</v>
      </c>
      <c r="J53" s="27">
        <f>J52</f>
        <v>96100000</v>
      </c>
      <c r="K53" s="27">
        <f t="shared" si="3"/>
        <v>94000000</v>
      </c>
      <c r="L53" s="27"/>
      <c r="M53" s="27">
        <f t="shared" si="4"/>
        <v>94000000</v>
      </c>
      <c r="N53" s="27">
        <f t="shared" si="5"/>
        <v>2100000</v>
      </c>
      <c r="O53">
        <f>$C$22*E55</f>
        <v>0.48</v>
      </c>
      <c r="P53">
        <f>$C$23</f>
        <v>0.5</v>
      </c>
      <c r="Q53" s="27">
        <f>IF(U53,O53*N53,0)</f>
        <v>1008000</v>
      </c>
      <c r="R53" s="89">
        <f>Q53-$O$35+L53</f>
        <v>48000</v>
      </c>
      <c r="T53" s="27">
        <f>J53*$C$24</f>
        <v>1922000</v>
      </c>
      <c r="U53" t="b">
        <f>N53&gt;T53</f>
        <v>1</v>
      </c>
      <c r="W53">
        <f t="shared" si="6"/>
        <v>1.0489073881373569E-2</v>
      </c>
    </row>
    <row r="54" spans="2:23" x14ac:dyDescent="0.3">
      <c r="C54">
        <v>2019</v>
      </c>
      <c r="D54" s="27">
        <v>94000000</v>
      </c>
      <c r="E54">
        <v>0.8</v>
      </c>
      <c r="I54" s="6">
        <v>2021</v>
      </c>
      <c r="J54" s="72">
        <f>J53</f>
        <v>96100000</v>
      </c>
      <c r="K54" s="72">
        <f t="shared" si="3"/>
        <v>98000000</v>
      </c>
      <c r="L54" s="72"/>
      <c r="M54" s="72">
        <f t="shared" si="4"/>
        <v>98000000</v>
      </c>
      <c r="N54" s="72">
        <f t="shared" si="5"/>
        <v>-1900000</v>
      </c>
      <c r="O54" s="6">
        <f>$C$22*E56</f>
        <v>0.48</v>
      </c>
      <c r="P54" s="6">
        <f>$C$23</f>
        <v>0.5</v>
      </c>
      <c r="Q54" s="72">
        <f>IF(U54,P54*N54,0)</f>
        <v>0</v>
      </c>
      <c r="R54" s="89">
        <f>Q54-$O$36+L54</f>
        <v>1000000</v>
      </c>
      <c r="T54" s="27">
        <f>-J54*$C$25</f>
        <v>-1922000</v>
      </c>
      <c r="U54" t="b">
        <f>N54&lt;T54</f>
        <v>0</v>
      </c>
      <c r="V54" t="s">
        <v>469</v>
      </c>
      <c r="W54">
        <f t="shared" si="6"/>
        <v>0</v>
      </c>
    </row>
    <row r="55" spans="2:23" x14ac:dyDescent="0.3">
      <c r="C55">
        <v>2020</v>
      </c>
      <c r="D55" s="27">
        <f>D54</f>
        <v>94000000</v>
      </c>
      <c r="E55">
        <f>E54</f>
        <v>0.8</v>
      </c>
      <c r="Q55" s="27">
        <f>SUM(Q49:Q54)</f>
        <v>6966000</v>
      </c>
      <c r="R55" s="89">
        <f>SUM(R49:R54)</f>
        <v>1646000</v>
      </c>
    </row>
    <row r="56" spans="2:23" x14ac:dyDescent="0.3">
      <c r="C56">
        <v>2021</v>
      </c>
      <c r="D56" s="27">
        <v>98000000</v>
      </c>
      <c r="E56">
        <f>E55</f>
        <v>0.8</v>
      </c>
    </row>
    <row r="58" spans="2:23" s="6" customFormat="1" x14ac:dyDescent="0.3">
      <c r="B58" s="6" t="s">
        <v>248</v>
      </c>
    </row>
    <row r="60" spans="2:23" x14ac:dyDescent="0.3">
      <c r="C60" t="s">
        <v>44</v>
      </c>
      <c r="D60" t="s">
        <v>246</v>
      </c>
    </row>
    <row r="61" spans="2:23" x14ac:dyDescent="0.3">
      <c r="C61">
        <v>2016</v>
      </c>
      <c r="D61">
        <v>0.1</v>
      </c>
      <c r="T61" t="s">
        <v>37</v>
      </c>
    </row>
    <row r="62" spans="2:23" x14ac:dyDescent="0.3">
      <c r="C62">
        <v>2017</v>
      </c>
      <c r="D62">
        <v>0.3</v>
      </c>
    </row>
    <row r="63" spans="2:23" x14ac:dyDescent="0.3">
      <c r="C63">
        <v>2018</v>
      </c>
      <c r="D63">
        <v>0.6</v>
      </c>
      <c r="I63" t="s">
        <v>44</v>
      </c>
      <c r="J63" t="s">
        <v>479</v>
      </c>
      <c r="K63" t="s">
        <v>478</v>
      </c>
      <c r="L63" t="s">
        <v>477</v>
      </c>
      <c r="M63" t="s">
        <v>476</v>
      </c>
      <c r="N63" t="s">
        <v>402</v>
      </c>
      <c r="O63" t="s">
        <v>475</v>
      </c>
      <c r="P63" t="s">
        <v>474</v>
      </c>
      <c r="Q63" t="s">
        <v>473</v>
      </c>
      <c r="R63" t="s">
        <v>472</v>
      </c>
      <c r="T63" t="s">
        <v>471</v>
      </c>
    </row>
    <row r="64" spans="2:23" x14ac:dyDescent="0.3">
      <c r="I64">
        <v>2016</v>
      </c>
      <c r="J64" s="27">
        <f>$C$17</f>
        <v>100000000</v>
      </c>
      <c r="K64" s="27">
        <f t="shared" ref="K64:K69" si="7">D66</f>
        <v>96000000</v>
      </c>
      <c r="L64" s="27"/>
      <c r="M64" s="27">
        <f t="shared" ref="M64:M69" si="8">L64+K64</f>
        <v>96000000</v>
      </c>
      <c r="N64" s="27">
        <f t="shared" ref="N64:N69" si="9">J64-M64</f>
        <v>4000000</v>
      </c>
      <c r="O64">
        <f>$C$16*E66</f>
        <v>0.45</v>
      </c>
      <c r="P64" t="s">
        <v>470</v>
      </c>
      <c r="Q64" s="27">
        <f>IF(U64,O64*N64,0)</f>
        <v>1800000</v>
      </c>
      <c r="R64" s="89">
        <f>Q64-$O$31+L64</f>
        <v>0</v>
      </c>
      <c r="T64" s="27">
        <f>J64*$C$18</f>
        <v>2000000</v>
      </c>
      <c r="U64" t="b">
        <f>N64&gt;T64</f>
        <v>1</v>
      </c>
      <c r="W64">
        <f t="shared" ref="W64:W69" si="10">Q64/J64</f>
        <v>1.7999999999999999E-2</v>
      </c>
    </row>
    <row r="65" spans="2:23" x14ac:dyDescent="0.3">
      <c r="C65" t="s">
        <v>44</v>
      </c>
      <c r="D65" t="s">
        <v>245</v>
      </c>
      <c r="E65" t="s">
        <v>244</v>
      </c>
      <c r="I65">
        <v>2017</v>
      </c>
      <c r="J65" s="27">
        <f>$C$17</f>
        <v>100000000</v>
      </c>
      <c r="K65" s="27">
        <f t="shared" si="7"/>
        <v>96000000</v>
      </c>
      <c r="L65" s="27">
        <v>1000000</v>
      </c>
      <c r="M65" s="27">
        <f t="shared" si="8"/>
        <v>97000000</v>
      </c>
      <c r="N65" s="27">
        <f t="shared" si="9"/>
        <v>3000000</v>
      </c>
      <c r="O65">
        <f>$C$16*E67</f>
        <v>0.45</v>
      </c>
      <c r="P65" t="s">
        <v>470</v>
      </c>
      <c r="Q65" s="27">
        <f>IF(U65,O65*N65,0)</f>
        <v>1350000</v>
      </c>
      <c r="R65" s="89">
        <f>Q65-$O$32+L65</f>
        <v>550000</v>
      </c>
      <c r="T65" s="27">
        <f>J65*$C$18</f>
        <v>2000000</v>
      </c>
      <c r="U65" t="b">
        <f>N65&gt;T65</f>
        <v>1</v>
      </c>
      <c r="W65">
        <f t="shared" si="10"/>
        <v>1.35E-2</v>
      </c>
    </row>
    <row r="66" spans="2:23" x14ac:dyDescent="0.3">
      <c r="C66">
        <v>2016</v>
      </c>
      <c r="D66" s="27">
        <v>96000000</v>
      </c>
      <c r="E66">
        <v>0.9</v>
      </c>
      <c r="I66">
        <v>2018</v>
      </c>
      <c r="J66" s="27">
        <f>$C$17</f>
        <v>100000000</v>
      </c>
      <c r="K66" s="27">
        <f t="shared" si="7"/>
        <v>96000000</v>
      </c>
      <c r="L66" s="27"/>
      <c r="M66" s="27">
        <f t="shared" si="8"/>
        <v>96000000</v>
      </c>
      <c r="N66" s="27">
        <f t="shared" si="9"/>
        <v>4000000</v>
      </c>
      <c r="O66">
        <f>$C$16*E68</f>
        <v>0.45</v>
      </c>
      <c r="P66" t="s">
        <v>470</v>
      </c>
      <c r="Q66" s="27">
        <f>IF(U66,O66*N66,0)</f>
        <v>1800000</v>
      </c>
      <c r="R66" s="89">
        <f>Q66-$O$33+L66</f>
        <v>0</v>
      </c>
      <c r="T66" s="27">
        <f>J66*$C$18</f>
        <v>2000000</v>
      </c>
      <c r="U66" t="b">
        <f>N66&gt;T66</f>
        <v>1</v>
      </c>
      <c r="W66">
        <f t="shared" si="10"/>
        <v>1.7999999999999999E-2</v>
      </c>
    </row>
    <row r="67" spans="2:23" x14ac:dyDescent="0.3">
      <c r="C67">
        <v>2017</v>
      </c>
      <c r="D67" s="27">
        <f>D66</f>
        <v>96000000</v>
      </c>
      <c r="E67">
        <f>E66</f>
        <v>0.9</v>
      </c>
      <c r="I67">
        <v>2019</v>
      </c>
      <c r="J67" s="27">
        <f>SUMPRODUCT(D61:D63,M64:M66)</f>
        <v>96300000</v>
      </c>
      <c r="K67" s="27">
        <f t="shared" si="7"/>
        <v>94000000</v>
      </c>
      <c r="L67" s="27"/>
      <c r="M67" s="27">
        <f t="shared" si="8"/>
        <v>94000000</v>
      </c>
      <c r="N67" s="27">
        <f t="shared" si="9"/>
        <v>2300000</v>
      </c>
      <c r="O67">
        <f>$C$22*E69</f>
        <v>0.48</v>
      </c>
      <c r="P67">
        <f>$C$23</f>
        <v>0.5</v>
      </c>
      <c r="Q67" s="27">
        <f>IF(U67,O67*N67,0)</f>
        <v>1104000</v>
      </c>
      <c r="R67" s="89">
        <f>Q67-$O$34+L67</f>
        <v>144000</v>
      </c>
      <c r="T67" s="27">
        <f>J67*$C$24</f>
        <v>1926000</v>
      </c>
      <c r="U67" t="b">
        <f>N67&gt;T67</f>
        <v>1</v>
      </c>
      <c r="W67">
        <f t="shared" si="10"/>
        <v>1.146417445482866E-2</v>
      </c>
    </row>
    <row r="68" spans="2:23" x14ac:dyDescent="0.3">
      <c r="C68">
        <v>2018</v>
      </c>
      <c r="D68" s="27">
        <f>D67</f>
        <v>96000000</v>
      </c>
      <c r="E68">
        <f>E67</f>
        <v>0.9</v>
      </c>
      <c r="I68">
        <v>2020</v>
      </c>
      <c r="J68" s="27">
        <f>J67</f>
        <v>96300000</v>
      </c>
      <c r="K68" s="27">
        <f t="shared" si="7"/>
        <v>94000000</v>
      </c>
      <c r="L68" s="27"/>
      <c r="M68" s="27">
        <f t="shared" si="8"/>
        <v>94000000</v>
      </c>
      <c r="N68" s="27">
        <f t="shared" si="9"/>
        <v>2300000</v>
      </c>
      <c r="O68">
        <f>$C$22*E70</f>
        <v>0.48</v>
      </c>
      <c r="P68">
        <f>$C$23</f>
        <v>0.5</v>
      </c>
      <c r="Q68" s="27">
        <f>IF(U68,O68*N68,0)</f>
        <v>1104000</v>
      </c>
      <c r="R68" s="89">
        <f>Q68-$O$35+L68</f>
        <v>144000</v>
      </c>
      <c r="T68" s="27">
        <f>J68*$C$24</f>
        <v>1926000</v>
      </c>
      <c r="U68" t="b">
        <f>N68&gt;T68</f>
        <v>1</v>
      </c>
      <c r="W68">
        <f t="shared" si="10"/>
        <v>1.146417445482866E-2</v>
      </c>
    </row>
    <row r="69" spans="2:23" x14ac:dyDescent="0.3">
      <c r="C69">
        <v>2019</v>
      </c>
      <c r="D69" s="27">
        <v>94000000</v>
      </c>
      <c r="E69">
        <v>0.8</v>
      </c>
      <c r="I69" s="6">
        <v>2021</v>
      </c>
      <c r="J69" s="72">
        <f>J68</f>
        <v>96300000</v>
      </c>
      <c r="K69" s="72">
        <f t="shared" si="7"/>
        <v>98000000</v>
      </c>
      <c r="L69" s="72"/>
      <c r="M69" s="72">
        <f t="shared" si="8"/>
        <v>98000000</v>
      </c>
      <c r="N69" s="72">
        <f t="shared" si="9"/>
        <v>-1700000</v>
      </c>
      <c r="O69" s="6">
        <f>$C$22*E71</f>
        <v>0.48</v>
      </c>
      <c r="P69" s="6">
        <f>$C$23</f>
        <v>0.5</v>
      </c>
      <c r="Q69" s="72">
        <f>IF(U69,P69*N69,0)</f>
        <v>0</v>
      </c>
      <c r="R69" s="89">
        <f>Q69-$O$36+L69</f>
        <v>1000000</v>
      </c>
      <c r="T69" s="27">
        <f>-J69*$C$25</f>
        <v>-1926000</v>
      </c>
      <c r="U69" t="b">
        <f>N69&lt;T69</f>
        <v>0</v>
      </c>
      <c r="V69" t="s">
        <v>469</v>
      </c>
      <c r="W69">
        <f t="shared" si="10"/>
        <v>0</v>
      </c>
    </row>
    <row r="70" spans="2:23" x14ac:dyDescent="0.3">
      <c r="C70">
        <v>2020</v>
      </c>
      <c r="D70" s="27">
        <f>D69</f>
        <v>94000000</v>
      </c>
      <c r="E70">
        <f>E69</f>
        <v>0.8</v>
      </c>
      <c r="Q70" s="27">
        <f>SUM(Q64:Q69)</f>
        <v>7158000</v>
      </c>
      <c r="R70" s="89">
        <f>SUM(R64:R69)</f>
        <v>1838000</v>
      </c>
    </row>
    <row r="71" spans="2:23" x14ac:dyDescent="0.3">
      <c r="C71">
        <v>2021</v>
      </c>
      <c r="D71" s="27">
        <v>98000000</v>
      </c>
      <c r="E71">
        <f>E70</f>
        <v>0.8</v>
      </c>
    </row>
    <row r="73" spans="2:23" s="6" customFormat="1" x14ac:dyDescent="0.3">
      <c r="B73" s="6" t="s">
        <v>247</v>
      </c>
    </row>
    <row r="75" spans="2:23" x14ac:dyDescent="0.3">
      <c r="C75" t="s">
        <v>44</v>
      </c>
      <c r="D75" t="s">
        <v>246</v>
      </c>
    </row>
    <row r="76" spans="2:23" x14ac:dyDescent="0.3">
      <c r="C76">
        <v>2016</v>
      </c>
      <c r="D76">
        <v>0.1</v>
      </c>
      <c r="T76" t="s">
        <v>37</v>
      </c>
    </row>
    <row r="77" spans="2:23" x14ac:dyDescent="0.3">
      <c r="C77">
        <v>2017</v>
      </c>
      <c r="D77">
        <v>0.3</v>
      </c>
    </row>
    <row r="78" spans="2:23" x14ac:dyDescent="0.3">
      <c r="C78">
        <v>2018</v>
      </c>
      <c r="D78">
        <v>0.6</v>
      </c>
      <c r="I78" t="s">
        <v>44</v>
      </c>
      <c r="J78" t="s">
        <v>479</v>
      </c>
      <c r="K78" t="s">
        <v>478</v>
      </c>
      <c r="L78" t="s">
        <v>477</v>
      </c>
      <c r="M78" t="s">
        <v>476</v>
      </c>
      <c r="N78" t="s">
        <v>402</v>
      </c>
      <c r="O78" t="s">
        <v>475</v>
      </c>
      <c r="P78" t="s">
        <v>474</v>
      </c>
      <c r="Q78" t="s">
        <v>473</v>
      </c>
      <c r="R78" t="s">
        <v>472</v>
      </c>
      <c r="T78" t="s">
        <v>471</v>
      </c>
    </row>
    <row r="79" spans="2:23" x14ac:dyDescent="0.3">
      <c r="I79">
        <v>2016</v>
      </c>
      <c r="J79" s="27">
        <f>$C$17</f>
        <v>100000000</v>
      </c>
      <c r="K79" s="27">
        <f t="shared" ref="K79:K84" si="11">D81</f>
        <v>96000000</v>
      </c>
      <c r="L79" s="27"/>
      <c r="M79" s="27">
        <f t="shared" ref="M79:M84" si="12">L79+K79</f>
        <v>96000000</v>
      </c>
      <c r="N79" s="27">
        <f t="shared" ref="N79:N84" si="13">J79-M79</f>
        <v>4000000</v>
      </c>
      <c r="O79">
        <f>$C$16*E81</f>
        <v>0.45</v>
      </c>
      <c r="P79" t="s">
        <v>470</v>
      </c>
      <c r="Q79" s="27">
        <f>IF(U79,O79*N79,0)</f>
        <v>1800000</v>
      </c>
      <c r="R79" s="89">
        <f>Q79-$O$31+L79</f>
        <v>0</v>
      </c>
      <c r="T79" s="27">
        <f>J79*$C$18</f>
        <v>2000000</v>
      </c>
      <c r="U79" t="b">
        <f>N79&gt;T79</f>
        <v>1</v>
      </c>
      <c r="W79">
        <f t="shared" ref="W79:W84" si="14">Q79/J79</f>
        <v>1.7999999999999999E-2</v>
      </c>
    </row>
    <row r="80" spans="2:23" x14ac:dyDescent="0.3">
      <c r="C80" t="s">
        <v>44</v>
      </c>
      <c r="D80" t="s">
        <v>245</v>
      </c>
      <c r="E80" t="s">
        <v>244</v>
      </c>
      <c r="I80">
        <v>2017</v>
      </c>
      <c r="J80" s="27">
        <f>$C$17</f>
        <v>100000000</v>
      </c>
      <c r="K80" s="27">
        <f t="shared" si="11"/>
        <v>96000000</v>
      </c>
      <c r="L80" s="27"/>
      <c r="M80" s="27">
        <f t="shared" si="12"/>
        <v>96000000</v>
      </c>
      <c r="N80" s="27">
        <f t="shared" si="13"/>
        <v>4000000</v>
      </c>
      <c r="O80">
        <f>$C$16*E82</f>
        <v>0.45</v>
      </c>
      <c r="P80" t="s">
        <v>470</v>
      </c>
      <c r="Q80" s="27">
        <f>IF(U80,O80*N80,0)</f>
        <v>1800000</v>
      </c>
      <c r="R80" s="89">
        <f>Q80-$O$32+L80</f>
        <v>0</v>
      </c>
      <c r="T80" s="27">
        <f>J80*$C$18</f>
        <v>2000000</v>
      </c>
      <c r="U80" t="b">
        <f>N80&gt;T80</f>
        <v>1</v>
      </c>
      <c r="W80">
        <f t="shared" si="14"/>
        <v>1.7999999999999999E-2</v>
      </c>
    </row>
    <row r="81" spans="3:23" x14ac:dyDescent="0.3">
      <c r="C81">
        <v>2016</v>
      </c>
      <c r="D81" s="27">
        <v>96000000</v>
      </c>
      <c r="E81">
        <v>0.9</v>
      </c>
      <c r="I81">
        <v>2018</v>
      </c>
      <c r="J81" s="27">
        <f>$C$17</f>
        <v>100000000</v>
      </c>
      <c r="K81" s="27">
        <f t="shared" si="11"/>
        <v>96000000</v>
      </c>
      <c r="L81" s="27">
        <v>1000000</v>
      </c>
      <c r="M81" s="27">
        <f t="shared" si="12"/>
        <v>97000000</v>
      </c>
      <c r="N81" s="27">
        <f t="shared" si="13"/>
        <v>3000000</v>
      </c>
      <c r="O81">
        <f>$C$16*E83</f>
        <v>0.45</v>
      </c>
      <c r="P81" t="s">
        <v>470</v>
      </c>
      <c r="Q81" s="27">
        <f>IF(U81,O81*N81,0)</f>
        <v>1350000</v>
      </c>
      <c r="R81" s="89">
        <f>Q81-$O$33+L81</f>
        <v>550000</v>
      </c>
      <c r="T81" s="27">
        <f>J81*$C$18</f>
        <v>2000000</v>
      </c>
      <c r="U81" t="b">
        <f>N81&gt;T81</f>
        <v>1</v>
      </c>
      <c r="W81">
        <f t="shared" si="14"/>
        <v>1.35E-2</v>
      </c>
    </row>
    <row r="82" spans="3:23" x14ac:dyDescent="0.3">
      <c r="C82">
        <v>2017</v>
      </c>
      <c r="D82" s="27">
        <f>D81</f>
        <v>96000000</v>
      </c>
      <c r="E82">
        <f>E81</f>
        <v>0.9</v>
      </c>
      <c r="I82">
        <v>2019</v>
      </c>
      <c r="J82" s="27">
        <f>SUMPRODUCT(D76:D78,M79:M81)</f>
        <v>96600000</v>
      </c>
      <c r="K82" s="27">
        <f t="shared" si="11"/>
        <v>94000000</v>
      </c>
      <c r="L82" s="27"/>
      <c r="M82" s="27">
        <f t="shared" si="12"/>
        <v>94000000</v>
      </c>
      <c r="N82" s="27">
        <f t="shared" si="13"/>
        <v>2600000</v>
      </c>
      <c r="O82">
        <f>$C$22*E84</f>
        <v>0.48</v>
      </c>
      <c r="P82">
        <f>$C$23</f>
        <v>0.5</v>
      </c>
      <c r="Q82" s="27">
        <f>IF(U82,O82*N82,0)</f>
        <v>1248000</v>
      </c>
      <c r="R82" s="89">
        <f>Q82-$O$34+L82</f>
        <v>288000</v>
      </c>
      <c r="T82" s="27">
        <f>J82*$C$24</f>
        <v>1932000</v>
      </c>
      <c r="U82" t="b">
        <f>N82&gt;T82</f>
        <v>1</v>
      </c>
      <c r="W82">
        <f t="shared" si="14"/>
        <v>1.2919254658385093E-2</v>
      </c>
    </row>
    <row r="83" spans="3:23" x14ac:dyDescent="0.3">
      <c r="C83">
        <v>2018</v>
      </c>
      <c r="D83" s="27">
        <f>D82</f>
        <v>96000000</v>
      </c>
      <c r="E83">
        <f>E82</f>
        <v>0.9</v>
      </c>
      <c r="I83">
        <v>2020</v>
      </c>
      <c r="J83" s="27">
        <f>J82</f>
        <v>96600000</v>
      </c>
      <c r="K83" s="27">
        <f t="shared" si="11"/>
        <v>94000000</v>
      </c>
      <c r="L83" s="27"/>
      <c r="M83" s="27">
        <f t="shared" si="12"/>
        <v>94000000</v>
      </c>
      <c r="N83" s="27">
        <f t="shared" si="13"/>
        <v>2600000</v>
      </c>
      <c r="O83">
        <f>$C$22*E85</f>
        <v>0.48</v>
      </c>
      <c r="P83">
        <f>$C$23</f>
        <v>0.5</v>
      </c>
      <c r="Q83" s="27">
        <f>IF(U83,O83*N83,0)</f>
        <v>1248000</v>
      </c>
      <c r="R83" s="89">
        <f>Q83-$O$35+L83</f>
        <v>288000</v>
      </c>
      <c r="T83" s="27">
        <f>J83*$C$24</f>
        <v>1932000</v>
      </c>
      <c r="U83" t="b">
        <f>N83&gt;T83</f>
        <v>1</v>
      </c>
      <c r="W83">
        <f t="shared" si="14"/>
        <v>1.2919254658385093E-2</v>
      </c>
    </row>
    <row r="84" spans="3:23" x14ac:dyDescent="0.3">
      <c r="C84">
        <v>2019</v>
      </c>
      <c r="D84" s="27">
        <v>94000000</v>
      </c>
      <c r="E84">
        <v>0.8</v>
      </c>
      <c r="I84" s="6">
        <v>2021</v>
      </c>
      <c r="J84" s="72">
        <f>J83</f>
        <v>96600000</v>
      </c>
      <c r="K84" s="72">
        <f t="shared" si="11"/>
        <v>98000000</v>
      </c>
      <c r="L84" s="72"/>
      <c r="M84" s="72">
        <f t="shared" si="12"/>
        <v>98000000</v>
      </c>
      <c r="N84" s="72">
        <f t="shared" si="13"/>
        <v>-1400000</v>
      </c>
      <c r="O84" s="6">
        <f>$C$22*E86</f>
        <v>0.48</v>
      </c>
      <c r="P84" s="6">
        <f>$C$23</f>
        <v>0.5</v>
      </c>
      <c r="Q84" s="72">
        <f>IF(U84,P84*N84,0)</f>
        <v>0</v>
      </c>
      <c r="R84" s="89">
        <f>Q84-$O$36+L84</f>
        <v>1000000</v>
      </c>
      <c r="T84" s="27">
        <f>-J84*$C$25</f>
        <v>-1932000</v>
      </c>
      <c r="U84" t="b">
        <f>N84&lt;T84</f>
        <v>0</v>
      </c>
      <c r="V84" t="s">
        <v>469</v>
      </c>
      <c r="W84">
        <f t="shared" si="14"/>
        <v>0</v>
      </c>
    </row>
    <row r="85" spans="3:23" x14ac:dyDescent="0.3">
      <c r="C85">
        <v>2020</v>
      </c>
      <c r="D85" s="27">
        <f>D84</f>
        <v>94000000</v>
      </c>
      <c r="E85">
        <f>E84</f>
        <v>0.8</v>
      </c>
      <c r="Q85" s="27">
        <f>SUM(Q79:Q84)</f>
        <v>7446000</v>
      </c>
      <c r="R85" s="89">
        <f>SUM(R79:R84)</f>
        <v>2126000</v>
      </c>
    </row>
    <row r="86" spans="3:23" x14ac:dyDescent="0.3">
      <c r="C86">
        <v>2021</v>
      </c>
      <c r="D86" s="27">
        <v>98000000</v>
      </c>
      <c r="E86">
        <f>E85</f>
        <v>0.8</v>
      </c>
    </row>
  </sheetData>
  <mergeCells count="3">
    <mergeCell ref="C10:F10"/>
    <mergeCell ref="C27:G27"/>
    <mergeCell ref="I27:M27"/>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2C569-3232-48E5-9352-A59254A5043B}">
  <sheetPr>
    <tabColor theme="5" tint="0.39997558519241921"/>
  </sheetPr>
  <dimension ref="A1:M34"/>
  <sheetViews>
    <sheetView workbookViewId="0">
      <selection activeCell="K41" sqref="K41"/>
    </sheetView>
  </sheetViews>
  <sheetFormatPr defaultRowHeight="14.4" x14ac:dyDescent="0.3"/>
  <sheetData>
    <row r="1" spans="1:8" ht="15" thickBot="1" x14ac:dyDescent="0.35">
      <c r="A1" t="s">
        <v>269</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C12" t="s">
        <v>268</v>
      </c>
    </row>
    <row r="13" spans="1:8" x14ac:dyDescent="0.3">
      <c r="C13" t="s">
        <v>267</v>
      </c>
    </row>
    <row r="14" spans="1:8" x14ac:dyDescent="0.3">
      <c r="C14" t="s">
        <v>266</v>
      </c>
    </row>
    <row r="15" spans="1:8" x14ac:dyDescent="0.3">
      <c r="C15">
        <v>0.05</v>
      </c>
      <c r="D15" t="s">
        <v>265</v>
      </c>
    </row>
    <row r="16" spans="1:8" x14ac:dyDescent="0.3">
      <c r="C16">
        <v>0</v>
      </c>
      <c r="D16" t="s">
        <v>264</v>
      </c>
    </row>
    <row r="21" spans="3:13" ht="15" thickBot="1" x14ac:dyDescent="0.35"/>
    <row r="22" spans="3:13" ht="15" thickBot="1" x14ac:dyDescent="0.35">
      <c r="C22" s="182" t="s">
        <v>10</v>
      </c>
      <c r="D22" s="183"/>
      <c r="E22" s="183"/>
      <c r="F22" s="183"/>
      <c r="G22" s="184"/>
      <c r="I22" s="182" t="s">
        <v>9</v>
      </c>
      <c r="J22" s="183"/>
      <c r="K22" s="183"/>
      <c r="L22" s="183"/>
      <c r="M22" s="184"/>
    </row>
    <row r="24" spans="3:13" x14ac:dyDescent="0.3">
      <c r="C24" t="s">
        <v>209</v>
      </c>
      <c r="D24" t="s">
        <v>263</v>
      </c>
      <c r="E24" t="s">
        <v>262</v>
      </c>
    </row>
    <row r="25" spans="3:13" x14ac:dyDescent="0.3">
      <c r="C25" t="s">
        <v>70</v>
      </c>
      <c r="D25" s="55">
        <v>500</v>
      </c>
      <c r="E25">
        <v>40</v>
      </c>
    </row>
    <row r="26" spans="3:13" x14ac:dyDescent="0.3">
      <c r="C26" t="s">
        <v>69</v>
      </c>
      <c r="D26" s="55">
        <v>600</v>
      </c>
      <c r="E26">
        <v>30</v>
      </c>
    </row>
    <row r="27" spans="3:13" x14ac:dyDescent="0.3">
      <c r="C27" t="s">
        <v>68</v>
      </c>
      <c r="D27" s="55">
        <v>800</v>
      </c>
      <c r="E27">
        <v>50</v>
      </c>
    </row>
    <row r="28" spans="3:13" x14ac:dyDescent="0.3">
      <c r="C28" t="s">
        <v>204</v>
      </c>
      <c r="D28" s="55">
        <v>700</v>
      </c>
      <c r="E28">
        <v>100</v>
      </c>
    </row>
    <row r="29" spans="3:13" x14ac:dyDescent="0.3">
      <c r="C29" t="s">
        <v>203</v>
      </c>
      <c r="D29" s="55">
        <v>550</v>
      </c>
      <c r="E29">
        <v>100</v>
      </c>
    </row>
    <row r="30" spans="3:13" x14ac:dyDescent="0.3">
      <c r="C30" t="s">
        <v>202</v>
      </c>
      <c r="D30" s="55">
        <v>700</v>
      </c>
      <c r="E30">
        <v>60</v>
      </c>
    </row>
    <row r="31" spans="3:13" x14ac:dyDescent="0.3">
      <c r="C31" t="s">
        <v>201</v>
      </c>
      <c r="D31" s="55">
        <v>800</v>
      </c>
      <c r="E31">
        <v>70</v>
      </c>
    </row>
    <row r="32" spans="3:13" x14ac:dyDescent="0.3">
      <c r="C32" t="s">
        <v>200</v>
      </c>
      <c r="D32" s="55">
        <v>600</v>
      </c>
      <c r="E32">
        <v>80</v>
      </c>
    </row>
    <row r="33" spans="3:5" x14ac:dyDescent="0.3">
      <c r="C33" t="s">
        <v>199</v>
      </c>
      <c r="D33" s="55">
        <v>800</v>
      </c>
      <c r="E33">
        <v>60</v>
      </c>
    </row>
    <row r="34" spans="3:5" x14ac:dyDescent="0.3">
      <c r="C34" t="s">
        <v>198</v>
      </c>
      <c r="D34" s="55">
        <v>900</v>
      </c>
      <c r="E34">
        <v>40</v>
      </c>
    </row>
  </sheetData>
  <mergeCells count="3">
    <mergeCell ref="C10:F10"/>
    <mergeCell ref="C22:G22"/>
    <mergeCell ref="I22:M22"/>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F65B2-9CC0-4874-B711-CBF40B485624}">
  <sheetPr>
    <tabColor theme="9" tint="0.59999389629810485"/>
  </sheetPr>
  <dimension ref="A1:N38"/>
  <sheetViews>
    <sheetView workbookViewId="0">
      <selection activeCell="A3" sqref="A3"/>
    </sheetView>
  </sheetViews>
  <sheetFormatPr defaultRowHeight="14.4" x14ac:dyDescent="0.3"/>
  <sheetData>
    <row r="1" spans="1:8" ht="15" thickBot="1" x14ac:dyDescent="0.35">
      <c r="A1" t="s">
        <v>269</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C12" t="s">
        <v>268</v>
      </c>
    </row>
    <row r="13" spans="1:8" x14ac:dyDescent="0.3">
      <c r="C13" t="s">
        <v>267</v>
      </c>
    </row>
    <row r="14" spans="1:8" x14ac:dyDescent="0.3">
      <c r="C14" t="s">
        <v>266</v>
      </c>
    </row>
    <row r="15" spans="1:8" x14ac:dyDescent="0.3">
      <c r="C15">
        <v>0.05</v>
      </c>
      <c r="D15" t="s">
        <v>265</v>
      </c>
    </row>
    <row r="16" spans="1:8" x14ac:dyDescent="0.3">
      <c r="C16">
        <v>0</v>
      </c>
      <c r="D16" t="s">
        <v>264</v>
      </c>
    </row>
    <row r="21" spans="3:14" ht="15" thickBot="1" x14ac:dyDescent="0.35"/>
    <row r="22" spans="3:14" ht="15" thickBot="1" x14ac:dyDescent="0.35">
      <c r="C22" s="182" t="s">
        <v>10</v>
      </c>
      <c r="D22" s="183"/>
      <c r="E22" s="183"/>
      <c r="F22" s="183"/>
      <c r="G22" s="184"/>
      <c r="I22" s="182" t="s">
        <v>9</v>
      </c>
      <c r="J22" s="183"/>
      <c r="K22" s="183"/>
      <c r="L22" s="183"/>
      <c r="M22" s="184"/>
    </row>
    <row r="24" spans="3:14" x14ac:dyDescent="0.3">
      <c r="C24" t="s">
        <v>209</v>
      </c>
      <c r="D24" t="s">
        <v>263</v>
      </c>
      <c r="E24" t="s">
        <v>262</v>
      </c>
    </row>
    <row r="25" spans="3:14" x14ac:dyDescent="0.3">
      <c r="C25" t="s">
        <v>70</v>
      </c>
      <c r="D25" s="55">
        <v>500</v>
      </c>
      <c r="E25">
        <v>40</v>
      </c>
      <c r="I25" s="55">
        <f>SUMPRODUCT(D25:D34,E25:E34)/SUM(E25:E34)</f>
        <v>687.30158730158735</v>
      </c>
      <c r="J25" t="s">
        <v>479</v>
      </c>
    </row>
    <row r="26" spans="3:14" x14ac:dyDescent="0.3">
      <c r="C26" t="s">
        <v>69</v>
      </c>
      <c r="D26" s="55">
        <v>600</v>
      </c>
      <c r="E26">
        <v>30</v>
      </c>
    </row>
    <row r="27" spans="3:14" x14ac:dyDescent="0.3">
      <c r="C27" t="s">
        <v>68</v>
      </c>
      <c r="D27" s="55">
        <v>800</v>
      </c>
      <c r="E27">
        <v>50</v>
      </c>
      <c r="I27" t="s">
        <v>209</v>
      </c>
      <c r="J27" t="s">
        <v>263</v>
      </c>
      <c r="K27" t="s">
        <v>484</v>
      </c>
      <c r="L27" t="s">
        <v>483</v>
      </c>
      <c r="M27" t="s">
        <v>482</v>
      </c>
      <c r="N27" t="s">
        <v>481</v>
      </c>
    </row>
    <row r="28" spans="3:14" x14ac:dyDescent="0.3">
      <c r="C28" t="s">
        <v>204</v>
      </c>
      <c r="D28" s="55">
        <v>700</v>
      </c>
      <c r="E28">
        <v>100</v>
      </c>
      <c r="I28" t="s">
        <v>70</v>
      </c>
      <c r="J28" s="55">
        <v>500</v>
      </c>
      <c r="K28">
        <v>40</v>
      </c>
      <c r="L28" s="55">
        <f t="shared" ref="L28:L37" si="0">IF($I$25-J28&lt;0,0,$I$25-J28)</f>
        <v>187.30158730158735</v>
      </c>
      <c r="M28" s="55">
        <f t="shared" ref="M28:M37" si="1">L28*$C$15</f>
        <v>9.3650793650793673</v>
      </c>
      <c r="N28" s="55">
        <f t="shared" ref="N28:N37" si="2">M28*K28</f>
        <v>374.60317460317469</v>
      </c>
    </row>
    <row r="29" spans="3:14" x14ac:dyDescent="0.3">
      <c r="C29" t="s">
        <v>203</v>
      </c>
      <c r="D29" s="55">
        <v>550</v>
      </c>
      <c r="E29">
        <v>100</v>
      </c>
      <c r="I29" t="s">
        <v>69</v>
      </c>
      <c r="J29" s="55">
        <v>600</v>
      </c>
      <c r="K29">
        <v>30</v>
      </c>
      <c r="L29" s="55">
        <f t="shared" si="0"/>
        <v>87.301587301587347</v>
      </c>
      <c r="M29" s="55">
        <f t="shared" si="1"/>
        <v>4.3650793650793673</v>
      </c>
      <c r="N29" s="55">
        <f t="shared" si="2"/>
        <v>130.95238095238102</v>
      </c>
    </row>
    <row r="30" spans="3:14" x14ac:dyDescent="0.3">
      <c r="C30" t="s">
        <v>202</v>
      </c>
      <c r="D30" s="55">
        <v>700</v>
      </c>
      <c r="E30">
        <v>60</v>
      </c>
      <c r="I30" t="s">
        <v>68</v>
      </c>
      <c r="J30" s="55">
        <v>800</v>
      </c>
      <c r="K30">
        <v>50</v>
      </c>
      <c r="L30" s="55">
        <f t="shared" si="0"/>
        <v>0</v>
      </c>
      <c r="M30" s="55">
        <f t="shared" si="1"/>
        <v>0</v>
      </c>
      <c r="N30" s="55">
        <f t="shared" si="2"/>
        <v>0</v>
      </c>
    </row>
    <row r="31" spans="3:14" x14ac:dyDescent="0.3">
      <c r="C31" t="s">
        <v>201</v>
      </c>
      <c r="D31" s="55">
        <v>800</v>
      </c>
      <c r="E31">
        <v>70</v>
      </c>
      <c r="I31" t="s">
        <v>204</v>
      </c>
      <c r="J31" s="55">
        <v>700</v>
      </c>
      <c r="K31">
        <v>100</v>
      </c>
      <c r="L31" s="55">
        <f t="shared" si="0"/>
        <v>0</v>
      </c>
      <c r="M31" s="55">
        <f t="shared" si="1"/>
        <v>0</v>
      </c>
      <c r="N31" s="55">
        <f t="shared" si="2"/>
        <v>0</v>
      </c>
    </row>
    <row r="32" spans="3:14" x14ac:dyDescent="0.3">
      <c r="C32" t="s">
        <v>200</v>
      </c>
      <c r="D32" s="55">
        <v>600</v>
      </c>
      <c r="E32">
        <v>80</v>
      </c>
      <c r="I32" t="s">
        <v>203</v>
      </c>
      <c r="J32" s="55">
        <v>550</v>
      </c>
      <c r="K32">
        <v>100</v>
      </c>
      <c r="L32" s="55">
        <f t="shared" si="0"/>
        <v>137.30158730158735</v>
      </c>
      <c r="M32" s="55">
        <f t="shared" si="1"/>
        <v>6.8650793650793673</v>
      </c>
      <c r="N32" s="55">
        <f t="shared" si="2"/>
        <v>686.50793650793673</v>
      </c>
    </row>
    <row r="33" spans="3:14" x14ac:dyDescent="0.3">
      <c r="C33" t="s">
        <v>199</v>
      </c>
      <c r="D33" s="55">
        <v>800</v>
      </c>
      <c r="E33">
        <v>60</v>
      </c>
      <c r="I33" t="s">
        <v>202</v>
      </c>
      <c r="J33" s="55">
        <v>700</v>
      </c>
      <c r="K33">
        <v>60</v>
      </c>
      <c r="L33" s="55">
        <f t="shared" si="0"/>
        <v>0</v>
      </c>
      <c r="M33" s="55">
        <f t="shared" si="1"/>
        <v>0</v>
      </c>
      <c r="N33" s="55">
        <f t="shared" si="2"/>
        <v>0</v>
      </c>
    </row>
    <row r="34" spans="3:14" x14ac:dyDescent="0.3">
      <c r="C34" t="s">
        <v>198</v>
      </c>
      <c r="D34" s="55">
        <v>900</v>
      </c>
      <c r="E34">
        <v>40</v>
      </c>
      <c r="I34" t="s">
        <v>201</v>
      </c>
      <c r="J34" s="55">
        <v>800</v>
      </c>
      <c r="K34">
        <v>70</v>
      </c>
      <c r="L34" s="55">
        <f t="shared" si="0"/>
        <v>0</v>
      </c>
      <c r="M34" s="55">
        <f t="shared" si="1"/>
        <v>0</v>
      </c>
      <c r="N34" s="55">
        <f t="shared" si="2"/>
        <v>0</v>
      </c>
    </row>
    <row r="35" spans="3:14" x14ac:dyDescent="0.3">
      <c r="I35" t="s">
        <v>200</v>
      </c>
      <c r="J35" s="55">
        <v>600</v>
      </c>
      <c r="K35">
        <v>80</v>
      </c>
      <c r="L35" s="55">
        <f t="shared" si="0"/>
        <v>87.301587301587347</v>
      </c>
      <c r="M35" s="55">
        <f t="shared" si="1"/>
        <v>4.3650793650793673</v>
      </c>
      <c r="N35" s="55">
        <f t="shared" si="2"/>
        <v>349.20634920634939</v>
      </c>
    </row>
    <row r="36" spans="3:14" x14ac:dyDescent="0.3">
      <c r="I36" t="s">
        <v>199</v>
      </c>
      <c r="J36" s="55">
        <v>800</v>
      </c>
      <c r="K36">
        <v>60</v>
      </c>
      <c r="L36" s="55">
        <f t="shared" si="0"/>
        <v>0</v>
      </c>
      <c r="M36" s="55">
        <f t="shared" si="1"/>
        <v>0</v>
      </c>
      <c r="N36" s="55">
        <f t="shared" si="2"/>
        <v>0</v>
      </c>
    </row>
    <row r="37" spans="3:14" x14ac:dyDescent="0.3">
      <c r="I37" t="s">
        <v>198</v>
      </c>
      <c r="J37" s="55">
        <v>900</v>
      </c>
      <c r="K37">
        <v>40</v>
      </c>
      <c r="L37" s="55">
        <f t="shared" si="0"/>
        <v>0</v>
      </c>
      <c r="M37" s="55">
        <f t="shared" si="1"/>
        <v>0</v>
      </c>
      <c r="N37" s="55">
        <f t="shared" si="2"/>
        <v>0</v>
      </c>
    </row>
    <row r="38" spans="3:14" x14ac:dyDescent="0.3">
      <c r="N38" s="19">
        <f>SUM(N28:N37)</f>
        <v>1541.2698412698419</v>
      </c>
    </row>
  </sheetData>
  <mergeCells count="3">
    <mergeCell ref="C10:F10"/>
    <mergeCell ref="C22:G22"/>
    <mergeCell ref="I22:M22"/>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B03CD-F400-400C-9BC2-ECBD65253177}">
  <sheetPr>
    <tabColor theme="5" tint="0.39997558519241921"/>
  </sheetPr>
  <dimension ref="A1:M75"/>
  <sheetViews>
    <sheetView workbookViewId="0">
      <selection activeCell="K41" sqref="K41"/>
    </sheetView>
  </sheetViews>
  <sheetFormatPr defaultRowHeight="14.4" x14ac:dyDescent="0.3"/>
  <cols>
    <col min="3" max="7" width="12.21875" customWidth="1"/>
    <col min="9" max="9" width="18" bestFit="1" customWidth="1"/>
    <col min="10" max="10" width="29.109375" bestFit="1" customWidth="1"/>
    <col min="11" max="14" width="12.6640625" customWidth="1"/>
  </cols>
  <sheetData>
    <row r="1" spans="1:13" ht="15" thickBot="1" x14ac:dyDescent="0.35">
      <c r="A1" t="s">
        <v>291</v>
      </c>
      <c r="G1" s="25" t="s">
        <v>40</v>
      </c>
      <c r="H1" s="24"/>
    </row>
    <row r="2" spans="1:13" x14ac:dyDescent="0.3">
      <c r="G2" s="23" t="s">
        <v>39</v>
      </c>
      <c r="H2" s="23"/>
    </row>
    <row r="3" spans="1:13" ht="15" thickBot="1" x14ac:dyDescent="0.35">
      <c r="G3" s="22" t="s">
        <v>38</v>
      </c>
      <c r="H3" s="22"/>
    </row>
    <row r="4" spans="1:13" ht="15.6" thickTop="1" thickBot="1" x14ac:dyDescent="0.35">
      <c r="G4" s="21" t="s">
        <v>37</v>
      </c>
      <c r="H4" s="21"/>
    </row>
    <row r="5" spans="1:13" ht="15" thickTop="1" x14ac:dyDescent="0.3">
      <c r="G5" s="20" t="s">
        <v>36</v>
      </c>
      <c r="H5" s="19"/>
    </row>
    <row r="9" spans="1:13" ht="15" thickBot="1" x14ac:dyDescent="0.35"/>
    <row r="10" spans="1:13" ht="15" thickBot="1" x14ac:dyDescent="0.35">
      <c r="C10" s="182" t="s">
        <v>16</v>
      </c>
      <c r="D10" s="183"/>
      <c r="E10" s="183"/>
      <c r="F10" s="184"/>
    </row>
    <row r="11" spans="1:13" ht="15" thickBot="1" x14ac:dyDescent="0.35"/>
    <row r="12" spans="1:13" ht="15" thickBot="1" x14ac:dyDescent="0.35">
      <c r="C12" s="182" t="s">
        <v>10</v>
      </c>
      <c r="D12" s="183"/>
      <c r="E12" s="183"/>
      <c r="F12" s="183"/>
      <c r="G12" s="184"/>
      <c r="I12" s="182" t="s">
        <v>9</v>
      </c>
      <c r="J12" s="183"/>
      <c r="K12" s="183"/>
      <c r="L12" s="183"/>
      <c r="M12" s="184"/>
    </row>
    <row r="13" spans="1:13" x14ac:dyDescent="0.3">
      <c r="B13" t="s">
        <v>93</v>
      </c>
    </row>
    <row r="15" spans="1:13" x14ac:dyDescent="0.3">
      <c r="D15" t="s">
        <v>290</v>
      </c>
    </row>
    <row r="16" spans="1:13" x14ac:dyDescent="0.3">
      <c r="C16" t="s">
        <v>288</v>
      </c>
      <c r="D16" t="s">
        <v>286</v>
      </c>
      <c r="E16" t="s">
        <v>285</v>
      </c>
      <c r="F16" t="s">
        <v>284</v>
      </c>
    </row>
    <row r="17" spans="3:7" x14ac:dyDescent="0.3">
      <c r="C17" t="s">
        <v>275</v>
      </c>
      <c r="D17">
        <v>0.02</v>
      </c>
      <c r="E17">
        <v>0.02</v>
      </c>
      <c r="F17">
        <v>0.04</v>
      </c>
    </row>
    <row r="18" spans="3:7" x14ac:dyDescent="0.3">
      <c r="C18" t="s">
        <v>274</v>
      </c>
      <c r="D18">
        <v>0.05</v>
      </c>
      <c r="E18">
        <v>0.05</v>
      </c>
      <c r="F18">
        <v>0.1</v>
      </c>
    </row>
    <row r="19" spans="3:7" x14ac:dyDescent="0.3">
      <c r="C19" t="s">
        <v>273</v>
      </c>
      <c r="D19">
        <v>7.0000000000000007E-2</v>
      </c>
      <c r="E19">
        <v>7.0000000000000007E-2</v>
      </c>
      <c r="F19">
        <v>0.1</v>
      </c>
    </row>
    <row r="20" spans="3:7" x14ac:dyDescent="0.3">
      <c r="C20" t="s">
        <v>272</v>
      </c>
      <c r="D20">
        <v>0.03</v>
      </c>
      <c r="E20">
        <v>0.03</v>
      </c>
      <c r="F20">
        <v>0.06</v>
      </c>
    </row>
    <row r="21" spans="3:7" x14ac:dyDescent="0.3">
      <c r="C21" t="s">
        <v>271</v>
      </c>
      <c r="D21">
        <v>0.04</v>
      </c>
      <c r="E21">
        <v>0.04</v>
      </c>
      <c r="F21">
        <v>0.08</v>
      </c>
    </row>
    <row r="22" spans="3:7" x14ac:dyDescent="0.3">
      <c r="C22" t="s">
        <v>270</v>
      </c>
      <c r="D22">
        <v>0.01</v>
      </c>
      <c r="E22">
        <v>0.01</v>
      </c>
      <c r="F22">
        <v>0.02</v>
      </c>
    </row>
    <row r="26" spans="3:7" x14ac:dyDescent="0.3">
      <c r="C26" t="s">
        <v>289</v>
      </c>
    </row>
    <row r="27" spans="3:7" x14ac:dyDescent="0.3">
      <c r="C27" t="s">
        <v>288</v>
      </c>
      <c r="D27" t="s">
        <v>287</v>
      </c>
      <c r="E27" t="s">
        <v>286</v>
      </c>
      <c r="F27" t="s">
        <v>285</v>
      </c>
      <c r="G27" t="s">
        <v>284</v>
      </c>
    </row>
    <row r="28" spans="3:7" x14ac:dyDescent="0.3">
      <c r="C28" t="s">
        <v>275</v>
      </c>
      <c r="D28" t="s">
        <v>169</v>
      </c>
      <c r="E28">
        <v>13</v>
      </c>
      <c r="F28">
        <v>16</v>
      </c>
      <c r="G28">
        <v>23</v>
      </c>
    </row>
    <row r="29" spans="3:7" x14ac:dyDescent="0.3">
      <c r="D29" t="s">
        <v>280</v>
      </c>
      <c r="E29">
        <v>3.1</v>
      </c>
      <c r="F29">
        <v>3.5</v>
      </c>
      <c r="G29">
        <v>3.2</v>
      </c>
    </row>
    <row r="30" spans="3:7" x14ac:dyDescent="0.3">
      <c r="D30" t="s">
        <v>279</v>
      </c>
      <c r="E30">
        <v>10000</v>
      </c>
      <c r="F30">
        <v>14000</v>
      </c>
      <c r="G30">
        <v>13000</v>
      </c>
    </row>
    <row r="31" spans="3:7" x14ac:dyDescent="0.3">
      <c r="D31" t="s">
        <v>278</v>
      </c>
      <c r="E31">
        <v>5515</v>
      </c>
      <c r="F31">
        <v>5600</v>
      </c>
      <c r="G31">
        <v>5755</v>
      </c>
    </row>
    <row r="32" spans="3:7" x14ac:dyDescent="0.3">
      <c r="C32" t="s">
        <v>274</v>
      </c>
      <c r="D32" t="s">
        <v>169</v>
      </c>
      <c r="E32">
        <v>15</v>
      </c>
      <c r="F32">
        <v>20</v>
      </c>
      <c r="G32">
        <v>10</v>
      </c>
    </row>
    <row r="33" spans="3:7" x14ac:dyDescent="0.3">
      <c r="D33" t="s">
        <v>280</v>
      </c>
      <c r="E33">
        <v>3.1</v>
      </c>
      <c r="F33">
        <v>3</v>
      </c>
      <c r="G33">
        <v>3.3</v>
      </c>
    </row>
    <row r="34" spans="3:7" x14ac:dyDescent="0.3">
      <c r="D34" t="s">
        <v>279</v>
      </c>
      <c r="E34">
        <v>10000</v>
      </c>
      <c r="F34">
        <v>8000</v>
      </c>
      <c r="G34">
        <v>15000</v>
      </c>
    </row>
    <row r="35" spans="3:7" x14ac:dyDescent="0.3">
      <c r="D35" t="s">
        <v>278</v>
      </c>
      <c r="E35">
        <v>4600</v>
      </c>
      <c r="F35">
        <v>4900</v>
      </c>
      <c r="G35">
        <v>4400</v>
      </c>
    </row>
    <row r="36" spans="3:7" x14ac:dyDescent="0.3">
      <c r="C36" t="s">
        <v>273</v>
      </c>
      <c r="D36" t="s">
        <v>169</v>
      </c>
      <c r="E36">
        <v>50</v>
      </c>
      <c r="F36">
        <v>35</v>
      </c>
      <c r="G36">
        <v>40</v>
      </c>
    </row>
    <row r="37" spans="3:7" x14ac:dyDescent="0.3">
      <c r="D37" t="s">
        <v>280</v>
      </c>
      <c r="E37">
        <v>3.2</v>
      </c>
      <c r="F37">
        <v>3.1</v>
      </c>
      <c r="G37">
        <v>3.4</v>
      </c>
    </row>
    <row r="38" spans="3:7" x14ac:dyDescent="0.3">
      <c r="D38" t="s">
        <v>279</v>
      </c>
      <c r="E38">
        <v>4800</v>
      </c>
      <c r="F38">
        <v>3000</v>
      </c>
      <c r="G38">
        <v>4000</v>
      </c>
    </row>
    <row r="39" spans="3:7" x14ac:dyDescent="0.3">
      <c r="D39" t="s">
        <v>278</v>
      </c>
      <c r="E39">
        <v>2400</v>
      </c>
      <c r="F39">
        <v>2500</v>
      </c>
      <c r="G39">
        <v>2000</v>
      </c>
    </row>
    <row r="40" spans="3:7" x14ac:dyDescent="0.3">
      <c r="C40" t="s">
        <v>272</v>
      </c>
      <c r="D40" t="s">
        <v>283</v>
      </c>
      <c r="E40">
        <v>80</v>
      </c>
      <c r="F40">
        <v>90</v>
      </c>
      <c r="G40">
        <v>100</v>
      </c>
    </row>
    <row r="41" spans="3:7" x14ac:dyDescent="0.3">
      <c r="D41" t="s">
        <v>282</v>
      </c>
      <c r="E41">
        <v>1700</v>
      </c>
      <c r="F41">
        <v>1800</v>
      </c>
      <c r="G41">
        <v>1900</v>
      </c>
    </row>
    <row r="42" spans="3:7" x14ac:dyDescent="0.3">
      <c r="D42" t="s">
        <v>281</v>
      </c>
      <c r="E42">
        <v>1200</v>
      </c>
      <c r="F42">
        <v>900</v>
      </c>
      <c r="G42">
        <v>1100</v>
      </c>
    </row>
    <row r="43" spans="3:7" x14ac:dyDescent="0.3">
      <c r="C43" t="s">
        <v>271</v>
      </c>
      <c r="D43" t="s">
        <v>169</v>
      </c>
      <c r="E43">
        <v>48</v>
      </c>
      <c r="F43">
        <v>62</v>
      </c>
      <c r="G43">
        <v>50</v>
      </c>
    </row>
    <row r="44" spans="3:7" x14ac:dyDescent="0.3">
      <c r="D44" t="s">
        <v>280</v>
      </c>
      <c r="E44">
        <v>1.5</v>
      </c>
      <c r="F44">
        <v>1.9</v>
      </c>
      <c r="G44">
        <v>1.8</v>
      </c>
    </row>
    <row r="45" spans="3:7" x14ac:dyDescent="0.3">
      <c r="D45" t="s">
        <v>279</v>
      </c>
      <c r="E45">
        <v>6000</v>
      </c>
      <c r="F45">
        <v>7000</v>
      </c>
      <c r="G45">
        <v>8000</v>
      </c>
    </row>
    <row r="46" spans="3:7" x14ac:dyDescent="0.3">
      <c r="D46" t="s">
        <v>278</v>
      </c>
      <c r="E46">
        <v>4100</v>
      </c>
      <c r="F46">
        <v>4400</v>
      </c>
      <c r="G46">
        <v>5100</v>
      </c>
    </row>
    <row r="47" spans="3:7" x14ac:dyDescent="0.3">
      <c r="C47" t="s">
        <v>270</v>
      </c>
      <c r="D47" t="s">
        <v>169</v>
      </c>
      <c r="E47">
        <v>20</v>
      </c>
      <c r="F47">
        <v>16</v>
      </c>
      <c r="G47">
        <v>18</v>
      </c>
    </row>
    <row r="48" spans="3:7" x14ac:dyDescent="0.3">
      <c r="D48" t="s">
        <v>280</v>
      </c>
      <c r="E48">
        <v>3.5</v>
      </c>
      <c r="F48">
        <v>2.9</v>
      </c>
      <c r="G48">
        <v>3.2</v>
      </c>
    </row>
    <row r="49" spans="4:7" x14ac:dyDescent="0.3">
      <c r="D49" t="s">
        <v>279</v>
      </c>
      <c r="E49">
        <v>4500</v>
      </c>
      <c r="F49">
        <v>4000</v>
      </c>
      <c r="G49">
        <v>8000</v>
      </c>
    </row>
    <row r="50" spans="4:7" x14ac:dyDescent="0.3">
      <c r="D50" t="s">
        <v>278</v>
      </c>
      <c r="E50">
        <v>3500</v>
      </c>
      <c r="F50">
        <v>3900</v>
      </c>
      <c r="G50">
        <v>3700</v>
      </c>
    </row>
    <row r="66" spans="2:4" s="6" customFormat="1" x14ac:dyDescent="0.3">
      <c r="B66" s="6" t="s">
        <v>17</v>
      </c>
    </row>
    <row r="69" spans="2:4" x14ac:dyDescent="0.3">
      <c r="C69" t="s">
        <v>277</v>
      </c>
      <c r="D69" t="s">
        <v>276</v>
      </c>
    </row>
    <row r="70" spans="2:4" x14ac:dyDescent="0.3">
      <c r="C70" t="s">
        <v>275</v>
      </c>
      <c r="D70" s="27">
        <v>38200</v>
      </c>
    </row>
    <row r="71" spans="2:4" x14ac:dyDescent="0.3">
      <c r="C71" t="s">
        <v>274</v>
      </c>
      <c r="D71" s="27">
        <v>31000</v>
      </c>
    </row>
    <row r="72" spans="2:4" x14ac:dyDescent="0.3">
      <c r="C72" t="s">
        <v>273</v>
      </c>
      <c r="D72" s="27">
        <v>15000</v>
      </c>
    </row>
    <row r="73" spans="2:4" x14ac:dyDescent="0.3">
      <c r="C73" t="s">
        <v>272</v>
      </c>
      <c r="D73" s="27">
        <v>2100</v>
      </c>
    </row>
    <row r="74" spans="2:4" x14ac:dyDescent="0.3">
      <c r="C74" t="s">
        <v>271</v>
      </c>
      <c r="D74" s="27">
        <v>11000</v>
      </c>
    </row>
    <row r="75" spans="2:4" x14ac:dyDescent="0.3">
      <c r="C75" t="s">
        <v>270</v>
      </c>
      <c r="D75" s="27">
        <v>23000</v>
      </c>
    </row>
  </sheetData>
  <mergeCells count="3">
    <mergeCell ref="C10:F10"/>
    <mergeCell ref="C12:G12"/>
    <mergeCell ref="I12:M12"/>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8237D-CF2F-4E16-A7BB-60B5B07FB756}">
  <sheetPr>
    <tabColor theme="9" tint="0.59999389629810485"/>
  </sheetPr>
  <dimension ref="A1:AE91"/>
  <sheetViews>
    <sheetView workbookViewId="0">
      <selection activeCell="A3" sqref="A3"/>
    </sheetView>
  </sheetViews>
  <sheetFormatPr defaultRowHeight="14.4" x14ac:dyDescent="0.3"/>
  <cols>
    <col min="3" max="7" width="12.21875" customWidth="1"/>
    <col min="9" max="9" width="18" bestFit="1" customWidth="1"/>
    <col min="10" max="10" width="29.109375" bestFit="1" customWidth="1"/>
    <col min="11" max="14" width="12.6640625" customWidth="1"/>
  </cols>
  <sheetData>
    <row r="1" spans="1:13" ht="15" thickBot="1" x14ac:dyDescent="0.35">
      <c r="A1" t="s">
        <v>291</v>
      </c>
      <c r="G1" s="25" t="s">
        <v>40</v>
      </c>
      <c r="H1" s="24"/>
    </row>
    <row r="2" spans="1:13" x14ac:dyDescent="0.3">
      <c r="G2" s="23" t="s">
        <v>39</v>
      </c>
      <c r="H2" s="23"/>
    </row>
    <row r="3" spans="1:13" ht="15" thickBot="1" x14ac:dyDescent="0.35">
      <c r="G3" s="22" t="s">
        <v>38</v>
      </c>
      <c r="H3" s="22"/>
    </row>
    <row r="4" spans="1:13" ht="15.6" thickTop="1" thickBot="1" x14ac:dyDescent="0.35">
      <c r="G4" s="21" t="s">
        <v>37</v>
      </c>
      <c r="H4" s="21"/>
    </row>
    <row r="5" spans="1:13" ht="15" thickTop="1" x14ac:dyDescent="0.3">
      <c r="G5" s="20" t="s">
        <v>36</v>
      </c>
      <c r="H5" s="19"/>
    </row>
    <row r="9" spans="1:13" ht="15" thickBot="1" x14ac:dyDescent="0.35"/>
    <row r="10" spans="1:13" ht="15" thickBot="1" x14ac:dyDescent="0.35">
      <c r="C10" s="182" t="s">
        <v>16</v>
      </c>
      <c r="D10" s="183"/>
      <c r="E10" s="183"/>
      <c r="F10" s="184"/>
    </row>
    <row r="11" spans="1:13" ht="15" thickBot="1" x14ac:dyDescent="0.35"/>
    <row r="12" spans="1:13" ht="15" thickBot="1" x14ac:dyDescent="0.35">
      <c r="C12" s="182" t="s">
        <v>10</v>
      </c>
      <c r="D12" s="183"/>
      <c r="E12" s="183"/>
      <c r="F12" s="183"/>
      <c r="G12" s="184"/>
      <c r="I12" s="182" t="s">
        <v>9</v>
      </c>
      <c r="J12" s="183"/>
      <c r="K12" s="183"/>
      <c r="L12" s="183"/>
      <c r="M12" s="184"/>
    </row>
    <row r="13" spans="1:13" x14ac:dyDescent="0.3">
      <c r="B13" t="s">
        <v>93</v>
      </c>
      <c r="J13" t="s">
        <v>493</v>
      </c>
    </row>
    <row r="14" spans="1:13" x14ac:dyDescent="0.3">
      <c r="J14" t="s">
        <v>288</v>
      </c>
      <c r="K14" t="s">
        <v>286</v>
      </c>
      <c r="L14" t="s">
        <v>285</v>
      </c>
      <c r="M14" t="s">
        <v>284</v>
      </c>
    </row>
    <row r="15" spans="1:13" x14ac:dyDescent="0.3">
      <c r="D15" t="s">
        <v>290</v>
      </c>
      <c r="J15" t="s">
        <v>275</v>
      </c>
      <c r="K15" s="27">
        <f>E28*E29*E31</f>
        <v>222254.50000000003</v>
      </c>
      <c r="L15" s="27">
        <f>F28*F29*F31</f>
        <v>313600</v>
      </c>
      <c r="M15" s="27">
        <f>G28*G29*G31</f>
        <v>423568.00000000006</v>
      </c>
    </row>
    <row r="16" spans="1:13" x14ac:dyDescent="0.3">
      <c r="C16" t="s">
        <v>288</v>
      </c>
      <c r="D16" t="s">
        <v>286</v>
      </c>
      <c r="E16" t="s">
        <v>285</v>
      </c>
      <c r="F16" t="s">
        <v>284</v>
      </c>
      <c r="J16" t="s">
        <v>274</v>
      </c>
      <c r="K16" s="27">
        <f>E32*E33*E35</f>
        <v>213900</v>
      </c>
      <c r="L16" s="27">
        <f>F32*F33*F35</f>
        <v>294000</v>
      </c>
      <c r="M16" s="27">
        <f>G32*G33*G35</f>
        <v>145200</v>
      </c>
    </row>
    <row r="17" spans="3:14" x14ac:dyDescent="0.3">
      <c r="C17" t="s">
        <v>275</v>
      </c>
      <c r="D17">
        <v>0.02</v>
      </c>
      <c r="E17">
        <v>0.02</v>
      </c>
      <c r="F17">
        <v>0.04</v>
      </c>
      <c r="J17" t="s">
        <v>273</v>
      </c>
      <c r="K17" s="27">
        <f>E36*E37*E39</f>
        <v>384000</v>
      </c>
      <c r="L17" s="27">
        <f>F36*F37*F39</f>
        <v>271250</v>
      </c>
      <c r="M17" s="27">
        <f>G36*G37*G39</f>
        <v>272000</v>
      </c>
    </row>
    <row r="18" spans="3:14" x14ac:dyDescent="0.3">
      <c r="C18" t="s">
        <v>274</v>
      </c>
      <c r="D18">
        <v>0.05</v>
      </c>
      <c r="E18">
        <v>0.05</v>
      </c>
      <c r="F18">
        <v>0.1</v>
      </c>
      <c r="J18" t="s">
        <v>272</v>
      </c>
      <c r="K18" s="27">
        <f>E40*E42</f>
        <v>96000</v>
      </c>
      <c r="L18" s="27">
        <f>F40*F42</f>
        <v>81000</v>
      </c>
      <c r="M18" s="27">
        <f>G40*G42</f>
        <v>110000</v>
      </c>
    </row>
    <row r="19" spans="3:14" x14ac:dyDescent="0.3">
      <c r="C19" t="s">
        <v>273</v>
      </c>
      <c r="D19">
        <v>7.0000000000000007E-2</v>
      </c>
      <c r="E19">
        <v>7.0000000000000007E-2</v>
      </c>
      <c r="F19">
        <v>0.1</v>
      </c>
      <c r="J19" t="s">
        <v>271</v>
      </c>
      <c r="K19" s="27">
        <f>E43*E44*E46</f>
        <v>295200</v>
      </c>
      <c r="L19" s="27">
        <f>F43*F44*F46</f>
        <v>518320</v>
      </c>
      <c r="M19" s="27">
        <f>G43*G44*G46</f>
        <v>459000</v>
      </c>
    </row>
    <row r="20" spans="3:14" x14ac:dyDescent="0.3">
      <c r="C20" t="s">
        <v>272</v>
      </c>
      <c r="D20">
        <v>0.03</v>
      </c>
      <c r="E20">
        <v>0.03</v>
      </c>
      <c r="F20">
        <v>0.06</v>
      </c>
      <c r="J20" t="s">
        <v>270</v>
      </c>
      <c r="K20" s="27">
        <f>E47*E48*E50</f>
        <v>245000</v>
      </c>
      <c r="L20" s="27">
        <f>F47*F48*F50</f>
        <v>180960</v>
      </c>
      <c r="M20" s="27">
        <f>G47*G48*G50</f>
        <v>213120</v>
      </c>
    </row>
    <row r="21" spans="3:14" x14ac:dyDescent="0.3">
      <c r="C21" t="s">
        <v>271</v>
      </c>
      <c r="D21">
        <v>0.04</v>
      </c>
      <c r="E21">
        <v>0.04</v>
      </c>
      <c r="F21">
        <v>0.08</v>
      </c>
      <c r="K21" s="27">
        <f>SUM(K15:K20)</f>
        <v>1456354.5</v>
      </c>
      <c r="L21" s="27">
        <f>SUM(L15:L20)</f>
        <v>1659130</v>
      </c>
      <c r="M21" s="27">
        <f>SUM(M15:M20)</f>
        <v>1622888</v>
      </c>
      <c r="N21" s="27">
        <f>SUM(K21:M21)</f>
        <v>4738372.5</v>
      </c>
    </row>
    <row r="22" spans="3:14" x14ac:dyDescent="0.3">
      <c r="C22" t="s">
        <v>270</v>
      </c>
      <c r="D22">
        <v>0.01</v>
      </c>
      <c r="E22">
        <v>0.01</v>
      </c>
      <c r="F22">
        <v>0.02</v>
      </c>
    </row>
    <row r="24" spans="3:14" x14ac:dyDescent="0.3">
      <c r="I24" s="6" t="s">
        <v>288</v>
      </c>
      <c r="J24" s="6" t="s">
        <v>287</v>
      </c>
      <c r="K24" s="6" t="s">
        <v>286</v>
      </c>
      <c r="L24" s="6" t="s">
        <v>285</v>
      </c>
      <c r="M24" s="6" t="s">
        <v>284</v>
      </c>
      <c r="N24" s="6"/>
    </row>
    <row r="25" spans="3:14" x14ac:dyDescent="0.3">
      <c r="I25" t="s">
        <v>275</v>
      </c>
      <c r="J25" t="s">
        <v>169</v>
      </c>
      <c r="K25">
        <f t="shared" ref="K25:M26" si="0">E28</f>
        <v>13</v>
      </c>
      <c r="L25">
        <f t="shared" si="0"/>
        <v>16</v>
      </c>
      <c r="M25">
        <f t="shared" si="0"/>
        <v>23</v>
      </c>
    </row>
    <row r="26" spans="3:14" x14ac:dyDescent="0.3">
      <c r="C26" t="s">
        <v>289</v>
      </c>
      <c r="J26" t="s">
        <v>280</v>
      </c>
      <c r="K26">
        <f t="shared" si="0"/>
        <v>3.1</v>
      </c>
      <c r="L26">
        <f t="shared" si="0"/>
        <v>3.5</v>
      </c>
      <c r="M26">
        <f t="shared" si="0"/>
        <v>3.2</v>
      </c>
    </row>
    <row r="27" spans="3:14" x14ac:dyDescent="0.3">
      <c r="C27" t="s">
        <v>288</v>
      </c>
      <c r="D27" t="s">
        <v>287</v>
      </c>
      <c r="E27" t="s">
        <v>286</v>
      </c>
      <c r="F27" t="s">
        <v>285</v>
      </c>
      <c r="G27" t="s">
        <v>284</v>
      </c>
      <c r="J27" t="s">
        <v>491</v>
      </c>
      <c r="K27">
        <f>D17</f>
        <v>0.02</v>
      </c>
      <c r="L27">
        <f>E17</f>
        <v>0.02</v>
      </c>
      <c r="M27">
        <f>F17</f>
        <v>0.04</v>
      </c>
    </row>
    <row r="28" spans="3:14" x14ac:dyDescent="0.3">
      <c r="C28" t="s">
        <v>275</v>
      </c>
      <c r="D28" t="s">
        <v>169</v>
      </c>
      <c r="E28">
        <v>13</v>
      </c>
      <c r="F28">
        <v>16</v>
      </c>
      <c r="G28">
        <v>23</v>
      </c>
      <c r="J28" t="s">
        <v>278</v>
      </c>
      <c r="K28" s="27">
        <f>E31</f>
        <v>5515</v>
      </c>
      <c r="L28" s="27">
        <f>F31</f>
        <v>5600</v>
      </c>
      <c r="M28" s="27">
        <f>G31</f>
        <v>5755</v>
      </c>
      <c r="N28" s="27"/>
    </row>
    <row r="29" spans="3:14" x14ac:dyDescent="0.3">
      <c r="D29" t="s">
        <v>280</v>
      </c>
      <c r="E29">
        <v>3.1</v>
      </c>
      <c r="F29">
        <v>3.5</v>
      </c>
      <c r="G29">
        <v>3.2</v>
      </c>
      <c r="I29" s="6"/>
      <c r="J29" s="6" t="s">
        <v>490</v>
      </c>
      <c r="K29" s="72">
        <f>K28*(1+K27)</f>
        <v>5625.3</v>
      </c>
      <c r="L29" s="72">
        <f>L28*(1+L27)</f>
        <v>5712</v>
      </c>
      <c r="M29" s="72">
        <f>M28*(1+M27)</f>
        <v>5985.2</v>
      </c>
      <c r="N29" s="27"/>
    </row>
    <row r="30" spans="3:14" x14ac:dyDescent="0.3">
      <c r="D30" t="s">
        <v>279</v>
      </c>
      <c r="E30">
        <v>10000</v>
      </c>
      <c r="F30">
        <v>14000</v>
      </c>
      <c r="G30">
        <v>13000</v>
      </c>
      <c r="I30" s="6"/>
      <c r="J30" s="6" t="s">
        <v>380</v>
      </c>
      <c r="K30" s="72">
        <f>K29*K26*K25</f>
        <v>226699.59</v>
      </c>
      <c r="L30" s="72">
        <f>L29*L26*L25</f>
        <v>319872</v>
      </c>
      <c r="M30" s="72">
        <f>M29*M26*M25</f>
        <v>440510.71999999997</v>
      </c>
      <c r="N30" s="72">
        <f>SUM(K30:M30)</f>
        <v>987082.30999999994</v>
      </c>
    </row>
    <row r="31" spans="3:14" x14ac:dyDescent="0.3">
      <c r="D31" t="s">
        <v>278</v>
      </c>
      <c r="E31">
        <v>5515</v>
      </c>
      <c r="F31">
        <v>5600</v>
      </c>
      <c r="G31">
        <v>5755</v>
      </c>
      <c r="I31" t="s">
        <v>274</v>
      </c>
      <c r="J31" t="s">
        <v>169</v>
      </c>
      <c r="K31">
        <f t="shared" ref="K31:M32" si="1">E32</f>
        <v>15</v>
      </c>
      <c r="L31">
        <f t="shared" si="1"/>
        <v>20</v>
      </c>
      <c r="M31">
        <f t="shared" si="1"/>
        <v>10</v>
      </c>
    </row>
    <row r="32" spans="3:14" x14ac:dyDescent="0.3">
      <c r="C32" t="s">
        <v>274</v>
      </c>
      <c r="D32" t="s">
        <v>169</v>
      </c>
      <c r="E32">
        <v>15</v>
      </c>
      <c r="F32">
        <v>20</v>
      </c>
      <c r="G32">
        <v>10</v>
      </c>
      <c r="J32" t="s">
        <v>280</v>
      </c>
      <c r="K32">
        <f t="shared" si="1"/>
        <v>3.1</v>
      </c>
      <c r="L32">
        <f t="shared" si="1"/>
        <v>3</v>
      </c>
      <c r="M32">
        <f t="shared" si="1"/>
        <v>3.3</v>
      </c>
    </row>
    <row r="33" spans="3:14" x14ac:dyDescent="0.3">
      <c r="D33" t="s">
        <v>280</v>
      </c>
      <c r="E33">
        <v>3.1</v>
      </c>
      <c r="F33">
        <v>3</v>
      </c>
      <c r="G33">
        <v>3.3</v>
      </c>
      <c r="J33" t="s">
        <v>491</v>
      </c>
      <c r="K33">
        <f>D18</f>
        <v>0.05</v>
      </c>
      <c r="L33">
        <f>E18</f>
        <v>0.05</v>
      </c>
      <c r="M33">
        <f>F18</f>
        <v>0.1</v>
      </c>
    </row>
    <row r="34" spans="3:14" x14ac:dyDescent="0.3">
      <c r="D34" t="s">
        <v>279</v>
      </c>
      <c r="E34">
        <v>10000</v>
      </c>
      <c r="F34">
        <v>8000</v>
      </c>
      <c r="G34">
        <v>15000</v>
      </c>
      <c r="J34" t="s">
        <v>278</v>
      </c>
      <c r="K34" s="27">
        <f>E35</f>
        <v>4600</v>
      </c>
      <c r="L34" s="27">
        <f>F35</f>
        <v>4900</v>
      </c>
      <c r="M34" s="27">
        <f>G35</f>
        <v>4400</v>
      </c>
      <c r="N34" s="27"/>
    </row>
    <row r="35" spans="3:14" x14ac:dyDescent="0.3">
      <c r="D35" t="s">
        <v>278</v>
      </c>
      <c r="E35">
        <v>4600</v>
      </c>
      <c r="F35">
        <v>4900</v>
      </c>
      <c r="G35">
        <v>4400</v>
      </c>
      <c r="I35" s="6"/>
      <c r="J35" s="6" t="s">
        <v>490</v>
      </c>
      <c r="K35" s="72">
        <f>K34*(1+K33)</f>
        <v>4830</v>
      </c>
      <c r="L35" s="72">
        <f>L34*(1+L33)</f>
        <v>5145</v>
      </c>
      <c r="M35" s="72">
        <f>M34*(1+M33)</f>
        <v>4840</v>
      </c>
      <c r="N35" s="27"/>
    </row>
    <row r="36" spans="3:14" x14ac:dyDescent="0.3">
      <c r="C36" t="s">
        <v>273</v>
      </c>
      <c r="D36" t="s">
        <v>169</v>
      </c>
      <c r="E36">
        <v>50</v>
      </c>
      <c r="F36">
        <v>35</v>
      </c>
      <c r="G36">
        <v>40</v>
      </c>
      <c r="I36" s="6"/>
      <c r="J36" s="6" t="s">
        <v>380</v>
      </c>
      <c r="K36" s="72">
        <f>K35*K32*K31</f>
        <v>224595</v>
      </c>
      <c r="L36" s="72">
        <f>L35*L32*L31</f>
        <v>308700</v>
      </c>
      <c r="M36" s="72">
        <f>M35*M32*M31</f>
        <v>159720</v>
      </c>
      <c r="N36" s="72">
        <f>SUM(K36:M36)</f>
        <v>693015</v>
      </c>
    </row>
    <row r="37" spans="3:14" x14ac:dyDescent="0.3">
      <c r="D37" t="s">
        <v>280</v>
      </c>
      <c r="E37">
        <v>3.2</v>
      </c>
      <c r="F37">
        <v>3.1</v>
      </c>
      <c r="G37">
        <v>3.4</v>
      </c>
      <c r="I37" t="s">
        <v>273</v>
      </c>
      <c r="J37" t="s">
        <v>169</v>
      </c>
      <c r="K37">
        <f t="shared" ref="K37:M38" si="2">E36</f>
        <v>50</v>
      </c>
      <c r="L37">
        <f t="shared" si="2"/>
        <v>35</v>
      </c>
      <c r="M37">
        <f t="shared" si="2"/>
        <v>40</v>
      </c>
    </row>
    <row r="38" spans="3:14" x14ac:dyDescent="0.3">
      <c r="D38" t="s">
        <v>279</v>
      </c>
      <c r="E38">
        <v>4800</v>
      </c>
      <c r="F38">
        <v>3000</v>
      </c>
      <c r="G38">
        <v>4000</v>
      </c>
      <c r="J38" t="s">
        <v>280</v>
      </c>
      <c r="K38">
        <f t="shared" si="2"/>
        <v>3.2</v>
      </c>
      <c r="L38">
        <f t="shared" si="2"/>
        <v>3.1</v>
      </c>
      <c r="M38">
        <f t="shared" si="2"/>
        <v>3.4</v>
      </c>
    </row>
    <row r="39" spans="3:14" x14ac:dyDescent="0.3">
      <c r="D39" t="s">
        <v>278</v>
      </c>
      <c r="E39">
        <v>2400</v>
      </c>
      <c r="F39">
        <v>2500</v>
      </c>
      <c r="G39">
        <v>2000</v>
      </c>
      <c r="J39" t="s">
        <v>491</v>
      </c>
      <c r="K39">
        <f>D19</f>
        <v>7.0000000000000007E-2</v>
      </c>
      <c r="L39">
        <f>E19</f>
        <v>7.0000000000000007E-2</v>
      </c>
      <c r="M39">
        <f>F19</f>
        <v>0.1</v>
      </c>
    </row>
    <row r="40" spans="3:14" x14ac:dyDescent="0.3">
      <c r="C40" t="s">
        <v>272</v>
      </c>
      <c r="D40" t="s">
        <v>283</v>
      </c>
      <c r="E40">
        <v>80</v>
      </c>
      <c r="F40">
        <v>90</v>
      </c>
      <c r="G40">
        <v>100</v>
      </c>
      <c r="J40" t="s">
        <v>278</v>
      </c>
      <c r="K40" s="27">
        <f>E39</f>
        <v>2400</v>
      </c>
      <c r="L40" s="27">
        <f>F39</f>
        <v>2500</v>
      </c>
      <c r="M40" s="27">
        <f>G39</f>
        <v>2000</v>
      </c>
      <c r="N40" s="27"/>
    </row>
    <row r="41" spans="3:14" x14ac:dyDescent="0.3">
      <c r="D41" t="s">
        <v>282</v>
      </c>
      <c r="E41">
        <v>1700</v>
      </c>
      <c r="F41">
        <v>1800</v>
      </c>
      <c r="G41">
        <v>1900</v>
      </c>
      <c r="I41" s="6"/>
      <c r="J41" s="6" t="s">
        <v>490</v>
      </c>
      <c r="K41" s="72">
        <f>K40*(1+K39)</f>
        <v>2568</v>
      </c>
      <c r="L41" s="72">
        <f>L40*(1+L39)</f>
        <v>2675</v>
      </c>
      <c r="M41" s="72">
        <f>M40*(1+M39)</f>
        <v>2200</v>
      </c>
      <c r="N41" s="27"/>
    </row>
    <row r="42" spans="3:14" x14ac:dyDescent="0.3">
      <c r="D42" t="s">
        <v>281</v>
      </c>
      <c r="E42">
        <v>1200</v>
      </c>
      <c r="F42">
        <v>900</v>
      </c>
      <c r="G42">
        <v>1100</v>
      </c>
      <c r="I42" s="6"/>
      <c r="J42" s="6" t="s">
        <v>380</v>
      </c>
      <c r="K42" s="72">
        <f>K41*K38*K37</f>
        <v>410880</v>
      </c>
      <c r="L42" s="72">
        <f>L41*L38*L37</f>
        <v>290237.5</v>
      </c>
      <c r="M42" s="72">
        <f>M41*M38*M37</f>
        <v>299200</v>
      </c>
      <c r="N42" s="72">
        <f>SUM(K42:M42)</f>
        <v>1000317.5</v>
      </c>
    </row>
    <row r="43" spans="3:14" x14ac:dyDescent="0.3">
      <c r="C43" t="s">
        <v>271</v>
      </c>
      <c r="D43" t="s">
        <v>169</v>
      </c>
      <c r="E43">
        <v>48</v>
      </c>
      <c r="F43">
        <v>62</v>
      </c>
      <c r="G43">
        <v>50</v>
      </c>
      <c r="I43" t="s">
        <v>272</v>
      </c>
      <c r="J43" t="s">
        <v>283</v>
      </c>
      <c r="K43">
        <f>E40</f>
        <v>80</v>
      </c>
      <c r="L43">
        <f>F40</f>
        <v>90</v>
      </c>
      <c r="M43">
        <f>G40</f>
        <v>100</v>
      </c>
    </row>
    <row r="44" spans="3:14" x14ac:dyDescent="0.3">
      <c r="D44" t="s">
        <v>280</v>
      </c>
      <c r="E44">
        <v>1.5</v>
      </c>
      <c r="F44">
        <v>1.9</v>
      </c>
      <c r="G44">
        <v>1.8</v>
      </c>
      <c r="J44" t="s">
        <v>491</v>
      </c>
      <c r="K44">
        <f>D20</f>
        <v>0.03</v>
      </c>
      <c r="L44">
        <f>E20</f>
        <v>0.03</v>
      </c>
      <c r="M44">
        <f>F20</f>
        <v>0.06</v>
      </c>
    </row>
    <row r="45" spans="3:14" x14ac:dyDescent="0.3">
      <c r="D45" t="s">
        <v>279</v>
      </c>
      <c r="E45">
        <v>6000</v>
      </c>
      <c r="F45">
        <v>7000</v>
      </c>
      <c r="G45">
        <v>8000</v>
      </c>
      <c r="J45" t="s">
        <v>281</v>
      </c>
      <c r="K45" s="27">
        <f>E42</f>
        <v>1200</v>
      </c>
      <c r="L45" s="27">
        <f>F42</f>
        <v>900</v>
      </c>
      <c r="M45" s="27">
        <f>G42</f>
        <v>1100</v>
      </c>
      <c r="N45" s="27"/>
    </row>
    <row r="46" spans="3:14" x14ac:dyDescent="0.3">
      <c r="D46" t="s">
        <v>278</v>
      </c>
      <c r="E46">
        <v>4100</v>
      </c>
      <c r="F46">
        <v>4400</v>
      </c>
      <c r="G46">
        <v>5100</v>
      </c>
      <c r="I46" s="6"/>
      <c r="J46" s="6" t="s">
        <v>492</v>
      </c>
      <c r="K46" s="72">
        <f>K45*(1+K44)</f>
        <v>1236</v>
      </c>
      <c r="L46" s="72">
        <f>L45*(1+L44)</f>
        <v>927</v>
      </c>
      <c r="M46" s="72">
        <f>M45*(1+M44)</f>
        <v>1166</v>
      </c>
      <c r="N46" s="27"/>
    </row>
    <row r="47" spans="3:14" x14ac:dyDescent="0.3">
      <c r="C47" t="s">
        <v>270</v>
      </c>
      <c r="D47" t="s">
        <v>169</v>
      </c>
      <c r="E47">
        <v>20</v>
      </c>
      <c r="F47">
        <v>16</v>
      </c>
      <c r="G47">
        <v>18</v>
      </c>
      <c r="I47" s="6"/>
      <c r="J47" s="6" t="s">
        <v>380</v>
      </c>
      <c r="K47" s="72">
        <f>K46*K43</f>
        <v>98880</v>
      </c>
      <c r="L47" s="72">
        <f>L46*L43</f>
        <v>83430</v>
      </c>
      <c r="M47" s="72">
        <f>M46*M43</f>
        <v>116600</v>
      </c>
      <c r="N47" s="72">
        <f>SUM(K47:M47)</f>
        <v>298910</v>
      </c>
    </row>
    <row r="48" spans="3:14" x14ac:dyDescent="0.3">
      <c r="D48" t="s">
        <v>280</v>
      </c>
      <c r="E48">
        <v>3.5</v>
      </c>
      <c r="F48">
        <v>2.9</v>
      </c>
      <c r="G48">
        <v>3.2</v>
      </c>
      <c r="I48" t="s">
        <v>271</v>
      </c>
      <c r="J48" t="s">
        <v>169</v>
      </c>
      <c r="K48">
        <f t="shared" ref="K48:M49" si="3">E43</f>
        <v>48</v>
      </c>
      <c r="L48">
        <f t="shared" si="3"/>
        <v>62</v>
      </c>
      <c r="M48">
        <f t="shared" si="3"/>
        <v>50</v>
      </c>
    </row>
    <row r="49" spans="4:14" x14ac:dyDescent="0.3">
      <c r="D49" t="s">
        <v>279</v>
      </c>
      <c r="E49">
        <v>4500</v>
      </c>
      <c r="F49">
        <v>4000</v>
      </c>
      <c r="G49">
        <v>8000</v>
      </c>
      <c r="J49" t="s">
        <v>280</v>
      </c>
      <c r="K49">
        <f t="shared" si="3"/>
        <v>1.5</v>
      </c>
      <c r="L49">
        <f t="shared" si="3"/>
        <v>1.9</v>
      </c>
      <c r="M49">
        <f t="shared" si="3"/>
        <v>1.8</v>
      </c>
    </row>
    <row r="50" spans="4:14" x14ac:dyDescent="0.3">
      <c r="D50" t="s">
        <v>278</v>
      </c>
      <c r="E50">
        <v>3500</v>
      </c>
      <c r="F50">
        <v>3900</v>
      </c>
      <c r="G50">
        <v>3700</v>
      </c>
      <c r="J50" t="s">
        <v>491</v>
      </c>
      <c r="K50">
        <f>D21</f>
        <v>0.04</v>
      </c>
      <c r="L50">
        <f>E21</f>
        <v>0.04</v>
      </c>
      <c r="M50">
        <f>F21</f>
        <v>0.08</v>
      </c>
    </row>
    <row r="51" spans="4:14" x14ac:dyDescent="0.3">
      <c r="J51" t="s">
        <v>278</v>
      </c>
      <c r="K51" s="27">
        <f>E46</f>
        <v>4100</v>
      </c>
      <c r="L51" s="27">
        <f>F46</f>
        <v>4400</v>
      </c>
      <c r="M51" s="27">
        <f>G46</f>
        <v>5100</v>
      </c>
      <c r="N51" s="27"/>
    </row>
    <row r="52" spans="4:14" x14ac:dyDescent="0.3">
      <c r="I52" s="6"/>
      <c r="J52" s="6" t="s">
        <v>490</v>
      </c>
      <c r="K52" s="72">
        <f>K51*(1+K50)</f>
        <v>4264</v>
      </c>
      <c r="L52" s="72">
        <f>L51*(1+L50)</f>
        <v>4576</v>
      </c>
      <c r="M52" s="72">
        <f>M51*(1+M50)</f>
        <v>5508</v>
      </c>
      <c r="N52" s="27"/>
    </row>
    <row r="53" spans="4:14" x14ac:dyDescent="0.3">
      <c r="I53" s="6"/>
      <c r="J53" s="6" t="s">
        <v>380</v>
      </c>
      <c r="K53" s="72">
        <f>K52*K49*K48</f>
        <v>307008</v>
      </c>
      <c r="L53" s="72">
        <f>L52*L49*L48</f>
        <v>539052.79999999993</v>
      </c>
      <c r="M53" s="72">
        <f>M52*M49*M48</f>
        <v>495720</v>
      </c>
      <c r="N53" s="72">
        <f>SUM(K53:M53)</f>
        <v>1341780.7999999998</v>
      </c>
    </row>
    <row r="54" spans="4:14" x14ac:dyDescent="0.3">
      <c r="I54" t="s">
        <v>270</v>
      </c>
      <c r="J54" t="s">
        <v>169</v>
      </c>
      <c r="K54">
        <f t="shared" ref="K54:M55" si="4">E47</f>
        <v>20</v>
      </c>
      <c r="L54">
        <f t="shared" si="4"/>
        <v>16</v>
      </c>
      <c r="M54">
        <f t="shared" si="4"/>
        <v>18</v>
      </c>
    </row>
    <row r="55" spans="4:14" x14ac:dyDescent="0.3">
      <c r="J55" t="s">
        <v>280</v>
      </c>
      <c r="K55">
        <f t="shared" si="4"/>
        <v>3.5</v>
      </c>
      <c r="L55">
        <f t="shared" si="4"/>
        <v>2.9</v>
      </c>
      <c r="M55">
        <f t="shared" si="4"/>
        <v>3.2</v>
      </c>
    </row>
    <row r="56" spans="4:14" x14ac:dyDescent="0.3">
      <c r="J56" t="s">
        <v>491</v>
      </c>
      <c r="K56">
        <f>D22</f>
        <v>0.01</v>
      </c>
      <c r="L56">
        <f>E22</f>
        <v>0.01</v>
      </c>
      <c r="M56">
        <f>F22</f>
        <v>0.02</v>
      </c>
    </row>
    <row r="57" spans="4:14" x14ac:dyDescent="0.3">
      <c r="J57" t="s">
        <v>278</v>
      </c>
      <c r="K57" s="27">
        <f>E50</f>
        <v>3500</v>
      </c>
      <c r="L57" s="27">
        <f>F50</f>
        <v>3900</v>
      </c>
      <c r="M57" s="27">
        <f>G50</f>
        <v>3700</v>
      </c>
      <c r="N57" s="27"/>
    </row>
    <row r="58" spans="4:14" x14ac:dyDescent="0.3">
      <c r="I58" s="6"/>
      <c r="J58" s="6" t="s">
        <v>490</v>
      </c>
      <c r="K58" s="72">
        <f>K57*(1+K56)</f>
        <v>3535</v>
      </c>
      <c r="L58" s="72">
        <f>L57*(1+L56)</f>
        <v>3939</v>
      </c>
      <c r="M58" s="72">
        <f>M57*(1+M56)</f>
        <v>3774</v>
      </c>
      <c r="N58" s="72"/>
    </row>
    <row r="59" spans="4:14" x14ac:dyDescent="0.3">
      <c r="I59" s="97"/>
      <c r="J59" s="97" t="s">
        <v>380</v>
      </c>
      <c r="K59" s="96">
        <f>K58*K55*K54</f>
        <v>247450</v>
      </c>
      <c r="L59" s="96">
        <f>L58*L55*L54</f>
        <v>182769.6</v>
      </c>
      <c r="M59" s="96">
        <f>M58*M55*M54</f>
        <v>217382.40000000002</v>
      </c>
      <c r="N59" s="96">
        <f>SUM(K59:M59)</f>
        <v>647602</v>
      </c>
    </row>
    <row r="60" spans="4:14" x14ac:dyDescent="0.3">
      <c r="I60" t="s">
        <v>380</v>
      </c>
      <c r="K60" s="27">
        <f>K59+K53+K47+K42+K36+K30</f>
        <v>1515512.59</v>
      </c>
      <c r="L60" s="27">
        <f>L59+L53+L47+L42+L36+L30</f>
        <v>1724061.9</v>
      </c>
      <c r="M60" s="27">
        <f>M59+M53+M47+M42+M36+M30</f>
        <v>1729133.1199999999</v>
      </c>
      <c r="N60" s="27">
        <f>N59+N53+N47+N42+N36+N30</f>
        <v>4968707.6099999994</v>
      </c>
    </row>
    <row r="62" spans="4:14" x14ac:dyDescent="0.3">
      <c r="K62" t="s">
        <v>286</v>
      </c>
      <c r="L62" t="s">
        <v>285</v>
      </c>
      <c r="M62" t="s">
        <v>284</v>
      </c>
      <c r="N62" t="s">
        <v>380</v>
      </c>
    </row>
    <row r="63" spans="4:14" x14ac:dyDescent="0.3">
      <c r="J63" t="s">
        <v>485</v>
      </c>
      <c r="K63" s="49">
        <f>K60/K21-1</f>
        <v>4.0620666190821053E-2</v>
      </c>
      <c r="L63" s="49">
        <f>L60/L21-1</f>
        <v>3.9136113505270798E-2</v>
      </c>
      <c r="M63" s="49">
        <f>M60/M21-1</f>
        <v>6.5466698872626905E-2</v>
      </c>
      <c r="N63" s="77">
        <f>N60/N21-1</f>
        <v>4.8610595726697126E-2</v>
      </c>
    </row>
    <row r="66" spans="2:31" s="6" customFormat="1" x14ac:dyDescent="0.3">
      <c r="B66" s="6" t="s">
        <v>17</v>
      </c>
    </row>
    <row r="68" spans="2:31" x14ac:dyDescent="0.3">
      <c r="K68" s="185" t="s">
        <v>489</v>
      </c>
      <c r="L68" s="185"/>
      <c r="M68" s="185"/>
      <c r="N68" s="23" t="s">
        <v>488</v>
      </c>
      <c r="O68" s="23"/>
      <c r="P68" s="23"/>
      <c r="Q68" s="23"/>
      <c r="R68" s="23"/>
      <c r="S68" s="23"/>
      <c r="T68" s="23"/>
      <c r="U68" s="23"/>
      <c r="V68" s="23"/>
      <c r="W68" s="23"/>
      <c r="X68" s="23"/>
      <c r="Y68" s="23"/>
      <c r="Z68" s="23"/>
      <c r="AA68" s="23"/>
      <c r="AB68" s="23"/>
      <c r="AC68" s="23"/>
      <c r="AD68" s="23"/>
      <c r="AE68" s="23"/>
    </row>
    <row r="69" spans="2:31" x14ac:dyDescent="0.3">
      <c r="C69" t="s">
        <v>277</v>
      </c>
      <c r="D69" t="s">
        <v>276</v>
      </c>
      <c r="J69" t="s">
        <v>288</v>
      </c>
      <c r="K69" t="s">
        <v>286</v>
      </c>
      <c r="L69" t="s">
        <v>285</v>
      </c>
      <c r="M69" t="s">
        <v>284</v>
      </c>
    </row>
    <row r="70" spans="2:31" x14ac:dyDescent="0.3">
      <c r="C70" t="s">
        <v>275</v>
      </c>
      <c r="D70" s="27">
        <v>38200</v>
      </c>
      <c r="J70" t="s">
        <v>275</v>
      </c>
      <c r="K70" s="27">
        <f t="shared" ref="K70:K75" si="5">D70</f>
        <v>38200</v>
      </c>
      <c r="L70" s="27">
        <f>L30/L25</f>
        <v>19992</v>
      </c>
      <c r="M70" s="27">
        <f>M30/M25</f>
        <v>19152.64</v>
      </c>
    </row>
    <row r="71" spans="2:31" x14ac:dyDescent="0.3">
      <c r="C71" t="s">
        <v>274</v>
      </c>
      <c r="D71" s="27">
        <v>31000</v>
      </c>
      <c r="J71" t="s">
        <v>274</v>
      </c>
      <c r="K71" s="27">
        <f t="shared" si="5"/>
        <v>31000</v>
      </c>
      <c r="L71" s="27">
        <f>L36/L31</f>
        <v>15435</v>
      </c>
      <c r="M71" s="27">
        <f>M36/M31</f>
        <v>15972</v>
      </c>
    </row>
    <row r="72" spans="2:31" x14ac:dyDescent="0.3">
      <c r="C72" t="s">
        <v>273</v>
      </c>
      <c r="D72" s="27">
        <v>15000</v>
      </c>
      <c r="J72" t="s">
        <v>273</v>
      </c>
      <c r="K72" s="27">
        <f t="shared" si="5"/>
        <v>15000</v>
      </c>
      <c r="L72" s="55">
        <f>L42/L37</f>
        <v>8292.5</v>
      </c>
      <c r="M72" s="55">
        <f>M42/M37</f>
        <v>7480</v>
      </c>
    </row>
    <row r="73" spans="2:31" x14ac:dyDescent="0.3">
      <c r="C73" t="s">
        <v>272</v>
      </c>
      <c r="D73" s="27">
        <v>2100</v>
      </c>
      <c r="J73" t="s">
        <v>272</v>
      </c>
      <c r="K73" s="27">
        <f t="shared" si="5"/>
        <v>2100</v>
      </c>
      <c r="L73" s="27">
        <f>L47/L43</f>
        <v>927</v>
      </c>
      <c r="M73" s="27">
        <f>M47/M43</f>
        <v>1166</v>
      </c>
    </row>
    <row r="74" spans="2:31" x14ac:dyDescent="0.3">
      <c r="C74" t="s">
        <v>271</v>
      </c>
      <c r="D74" s="27">
        <v>11000</v>
      </c>
      <c r="J74" t="s">
        <v>271</v>
      </c>
      <c r="K74" s="27">
        <f t="shared" si="5"/>
        <v>11000</v>
      </c>
      <c r="L74" s="55">
        <f>L53/L48</f>
        <v>8694.4</v>
      </c>
      <c r="M74" s="55">
        <f>M53/M48</f>
        <v>9914.4</v>
      </c>
    </row>
    <row r="75" spans="2:31" x14ac:dyDescent="0.3">
      <c r="C75" t="s">
        <v>270</v>
      </c>
      <c r="D75" s="27">
        <v>23000</v>
      </c>
      <c r="J75" t="s">
        <v>270</v>
      </c>
      <c r="K75" s="27">
        <f t="shared" si="5"/>
        <v>23000</v>
      </c>
      <c r="L75" s="55">
        <f>L59/L54</f>
        <v>11423.1</v>
      </c>
      <c r="M75" s="55">
        <f>M59/M54</f>
        <v>12076.800000000001</v>
      </c>
    </row>
    <row r="78" spans="2:31" x14ac:dyDescent="0.3">
      <c r="K78" s="185" t="s">
        <v>487</v>
      </c>
      <c r="L78" s="185"/>
      <c r="M78" s="185"/>
    </row>
    <row r="79" spans="2:31" x14ac:dyDescent="0.3">
      <c r="J79" t="s">
        <v>288</v>
      </c>
      <c r="K79" t="s">
        <v>286</v>
      </c>
      <c r="L79" t="s">
        <v>285</v>
      </c>
      <c r="M79" t="s">
        <v>284</v>
      </c>
    </row>
    <row r="80" spans="2:31" x14ac:dyDescent="0.3">
      <c r="J80" t="s">
        <v>275</v>
      </c>
      <c r="K80" s="5">
        <f>K25</f>
        <v>13</v>
      </c>
      <c r="L80" s="5">
        <f>L25</f>
        <v>16</v>
      </c>
      <c r="M80" s="5">
        <f>M25</f>
        <v>23</v>
      </c>
    </row>
    <row r="81" spans="10:14" x14ac:dyDescent="0.3">
      <c r="J81" t="s">
        <v>274</v>
      </c>
      <c r="K81" s="5">
        <f>K31</f>
        <v>15</v>
      </c>
      <c r="L81" s="5">
        <f>L31</f>
        <v>20</v>
      </c>
      <c r="M81" s="5">
        <f>M31</f>
        <v>10</v>
      </c>
    </row>
    <row r="82" spans="10:14" x14ac:dyDescent="0.3">
      <c r="J82" t="s">
        <v>273</v>
      </c>
      <c r="K82" s="5">
        <f>K37</f>
        <v>50</v>
      </c>
      <c r="L82" s="5">
        <f>L37</f>
        <v>35</v>
      </c>
      <c r="M82" s="5">
        <f>M37</f>
        <v>40</v>
      </c>
    </row>
    <row r="83" spans="10:14" x14ac:dyDescent="0.3">
      <c r="J83" t="s">
        <v>272</v>
      </c>
      <c r="K83" s="5">
        <f>K43</f>
        <v>80</v>
      </c>
      <c r="L83" s="5">
        <f>L43</f>
        <v>90</v>
      </c>
      <c r="M83" s="5">
        <f>M43</f>
        <v>100</v>
      </c>
    </row>
    <row r="84" spans="10:14" x14ac:dyDescent="0.3">
      <c r="J84" t="s">
        <v>271</v>
      </c>
      <c r="K84" s="5">
        <f>K48</f>
        <v>48</v>
      </c>
      <c r="L84" s="5">
        <f>L48</f>
        <v>62</v>
      </c>
      <c r="M84" s="5">
        <f>M48</f>
        <v>50</v>
      </c>
    </row>
    <row r="85" spans="10:14" x14ac:dyDescent="0.3">
      <c r="J85" t="s">
        <v>270</v>
      </c>
      <c r="K85" s="5">
        <f>K54</f>
        <v>20</v>
      </c>
      <c r="L85" s="5">
        <f>L54</f>
        <v>16</v>
      </c>
      <c r="M85" s="5">
        <f>M54</f>
        <v>18</v>
      </c>
    </row>
    <row r="88" spans="10:14" x14ac:dyDescent="0.3">
      <c r="J88" t="s">
        <v>486</v>
      </c>
      <c r="K88" s="27">
        <f>SUMPRODUCT(K80:K85,K70:K75)</f>
        <v>2867600</v>
      </c>
      <c r="L88" s="27">
        <f>SUMPRODUCT(L80:L85,L70:L75)</f>
        <v>1724061.9</v>
      </c>
      <c r="M88" s="27">
        <f>SUMPRODUCT(M80:M85,M70:M75)</f>
        <v>1729133.12</v>
      </c>
      <c r="N88" s="27">
        <f>SUM(K88:M88)</f>
        <v>6320795.0200000005</v>
      </c>
    </row>
    <row r="90" spans="10:14" x14ac:dyDescent="0.3">
      <c r="K90" t="s">
        <v>286</v>
      </c>
      <c r="L90" t="s">
        <v>285</v>
      </c>
      <c r="M90" t="s">
        <v>284</v>
      </c>
      <c r="N90" t="s">
        <v>380</v>
      </c>
    </row>
    <row r="91" spans="10:14" x14ac:dyDescent="0.3">
      <c r="J91" t="s">
        <v>485</v>
      </c>
      <c r="K91" s="49">
        <f>K88/K21-1</f>
        <v>0.9690260853384256</v>
      </c>
      <c r="L91" s="49">
        <f>L88/L21-1</f>
        <v>3.9136113505270798E-2</v>
      </c>
      <c r="M91" s="49">
        <f>M88/M21-1</f>
        <v>6.5466698872627127E-2</v>
      </c>
      <c r="N91" s="77">
        <f>N88/N21-1</f>
        <v>0.33395907983173556</v>
      </c>
    </row>
  </sheetData>
  <mergeCells count="5">
    <mergeCell ref="C10:F10"/>
    <mergeCell ref="C12:G12"/>
    <mergeCell ref="I12:M12"/>
    <mergeCell ref="K68:M68"/>
    <mergeCell ref="K78:M78"/>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40B5B-FBE2-4B2E-94AB-532B43A878FD}">
  <sheetPr>
    <tabColor theme="5" tint="0.39997558519241921"/>
  </sheetPr>
  <dimension ref="A1:M29"/>
  <sheetViews>
    <sheetView workbookViewId="0">
      <selection activeCell="K41" sqref="K41"/>
    </sheetView>
  </sheetViews>
  <sheetFormatPr defaultRowHeight="14.4" x14ac:dyDescent="0.3"/>
  <cols>
    <col min="11" max="12" width="9.6640625" bestFit="1" customWidth="1"/>
  </cols>
  <sheetData>
    <row r="1" spans="1:8" ht="15" thickBot="1" x14ac:dyDescent="0.35">
      <c r="A1" t="s">
        <v>301</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21" spans="3:13" ht="15" thickBot="1" x14ac:dyDescent="0.35"/>
    <row r="22" spans="3:13" ht="15" thickBot="1" x14ac:dyDescent="0.35">
      <c r="C22" s="182" t="s">
        <v>10</v>
      </c>
      <c r="D22" s="183"/>
      <c r="E22" s="183"/>
      <c r="F22" s="183"/>
      <c r="G22" s="184"/>
      <c r="I22" s="182" t="s">
        <v>9</v>
      </c>
      <c r="J22" s="183"/>
      <c r="K22" s="183"/>
      <c r="L22" s="183"/>
      <c r="M22" s="184"/>
    </row>
    <row r="24" spans="3:13" x14ac:dyDescent="0.3">
      <c r="C24" t="s">
        <v>300</v>
      </c>
      <c r="D24" t="s">
        <v>299</v>
      </c>
      <c r="E24" t="s">
        <v>298</v>
      </c>
      <c r="F24" t="s">
        <v>297</v>
      </c>
    </row>
    <row r="25" spans="3:13" x14ac:dyDescent="0.3">
      <c r="C25" t="s">
        <v>296</v>
      </c>
      <c r="D25">
        <v>2</v>
      </c>
      <c r="E25">
        <v>20000</v>
      </c>
      <c r="F25">
        <v>200000</v>
      </c>
    </row>
    <row r="26" spans="3:13" x14ac:dyDescent="0.3">
      <c r="C26" t="s">
        <v>295</v>
      </c>
      <c r="D26">
        <v>30</v>
      </c>
      <c r="E26">
        <v>40000</v>
      </c>
      <c r="F26">
        <v>37000</v>
      </c>
    </row>
    <row r="27" spans="3:13" x14ac:dyDescent="0.3">
      <c r="C27" t="s">
        <v>294</v>
      </c>
      <c r="D27">
        <v>35</v>
      </c>
      <c r="E27">
        <v>45000</v>
      </c>
      <c r="F27">
        <v>40000</v>
      </c>
    </row>
    <row r="28" spans="3:13" x14ac:dyDescent="0.3">
      <c r="C28" t="s">
        <v>293</v>
      </c>
      <c r="D28">
        <v>35</v>
      </c>
      <c r="E28">
        <v>2500</v>
      </c>
      <c r="F28">
        <v>2600</v>
      </c>
    </row>
    <row r="29" spans="3:13" x14ac:dyDescent="0.3">
      <c r="C29" t="s">
        <v>292</v>
      </c>
      <c r="D29">
        <v>5</v>
      </c>
      <c r="E29">
        <v>12000</v>
      </c>
      <c r="F29">
        <v>15000</v>
      </c>
    </row>
  </sheetData>
  <mergeCells count="3">
    <mergeCell ref="C10:F10"/>
    <mergeCell ref="C22:G22"/>
    <mergeCell ref="I22:M2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4A6E7-B072-4040-86D0-EE0078C6F10F}">
  <sheetPr>
    <tabColor theme="5" tint="0.39997558519241921"/>
  </sheetPr>
  <dimension ref="A1:M45"/>
  <sheetViews>
    <sheetView workbookViewId="0">
      <selection activeCell="K41" sqref="K41"/>
    </sheetView>
  </sheetViews>
  <sheetFormatPr defaultRowHeight="14.4" x14ac:dyDescent="0.3"/>
  <cols>
    <col min="3" max="3" width="22.33203125" customWidth="1"/>
    <col min="9" max="9" width="9.88671875" bestFit="1" customWidth="1"/>
  </cols>
  <sheetData>
    <row r="1" spans="1:13" ht="15" thickBot="1" x14ac:dyDescent="0.35">
      <c r="A1" t="s">
        <v>56</v>
      </c>
      <c r="G1" s="25" t="s">
        <v>40</v>
      </c>
      <c r="H1" s="24"/>
    </row>
    <row r="2" spans="1:13" x14ac:dyDescent="0.3">
      <c r="G2" s="23" t="s">
        <v>39</v>
      </c>
      <c r="H2" s="23"/>
    </row>
    <row r="3" spans="1:13" ht="15" thickBot="1" x14ac:dyDescent="0.35">
      <c r="G3" s="22" t="s">
        <v>38</v>
      </c>
      <c r="H3" s="22"/>
    </row>
    <row r="4" spans="1:13" ht="15.6" thickTop="1" thickBot="1" x14ac:dyDescent="0.35">
      <c r="G4" s="21" t="s">
        <v>37</v>
      </c>
      <c r="H4" s="21"/>
    </row>
    <row r="5" spans="1:13" ht="15" thickTop="1" x14ac:dyDescent="0.3">
      <c r="G5" s="20" t="s">
        <v>36</v>
      </c>
      <c r="H5" s="19"/>
    </row>
    <row r="9" spans="1:13" ht="15" thickBot="1" x14ac:dyDescent="0.35"/>
    <row r="10" spans="1:13" ht="15" thickBot="1" x14ac:dyDescent="0.35">
      <c r="C10" s="182" t="s">
        <v>16</v>
      </c>
      <c r="D10" s="183"/>
      <c r="E10" s="183"/>
      <c r="F10" s="184"/>
    </row>
    <row r="12" spans="1:13" x14ac:dyDescent="0.3">
      <c r="C12" s="27">
        <v>35000</v>
      </c>
      <c r="D12" t="s">
        <v>55</v>
      </c>
    </row>
    <row r="14" spans="1:13" x14ac:dyDescent="0.3">
      <c r="C14">
        <v>0.1</v>
      </c>
      <c r="D14" t="s">
        <v>54</v>
      </c>
    </row>
    <row r="15" spans="1:13" ht="15" thickBot="1" x14ac:dyDescent="0.35"/>
    <row r="16" spans="1:13" ht="15" thickBot="1" x14ac:dyDescent="0.35">
      <c r="C16" s="182" t="s">
        <v>10</v>
      </c>
      <c r="D16" s="183"/>
      <c r="E16" s="183"/>
      <c r="F16" s="183"/>
      <c r="G16" s="184"/>
      <c r="I16" s="182" t="s">
        <v>9</v>
      </c>
      <c r="J16" s="183"/>
      <c r="K16" s="183"/>
      <c r="L16" s="183"/>
      <c r="M16" s="184"/>
    </row>
    <row r="17" spans="1:5" x14ac:dyDescent="0.3">
      <c r="A17" t="s">
        <v>53</v>
      </c>
    </row>
    <row r="18" spans="1:5" x14ac:dyDescent="0.3">
      <c r="C18" t="s">
        <v>52</v>
      </c>
      <c r="D18" t="s">
        <v>51</v>
      </c>
      <c r="E18" t="s">
        <v>50</v>
      </c>
    </row>
    <row r="19" spans="1:5" x14ac:dyDescent="0.3">
      <c r="C19" t="s">
        <v>49</v>
      </c>
      <c r="D19" s="27">
        <v>1500</v>
      </c>
      <c r="E19">
        <v>225</v>
      </c>
    </row>
    <row r="20" spans="1:5" x14ac:dyDescent="0.3">
      <c r="C20" t="s">
        <v>48</v>
      </c>
      <c r="D20" s="27">
        <v>20000</v>
      </c>
      <c r="E20">
        <v>100</v>
      </c>
    </row>
    <row r="21" spans="1:5" x14ac:dyDescent="0.3">
      <c r="C21" t="s">
        <v>47</v>
      </c>
      <c r="D21" s="27">
        <v>16000</v>
      </c>
      <c r="E21">
        <v>200</v>
      </c>
    </row>
    <row r="22" spans="1:5" x14ac:dyDescent="0.3">
      <c r="C22" t="s">
        <v>46</v>
      </c>
      <c r="D22" s="27">
        <v>85000</v>
      </c>
      <c r="E22">
        <v>10</v>
      </c>
    </row>
    <row r="28" spans="1:5" x14ac:dyDescent="0.3">
      <c r="A28" t="s">
        <v>34</v>
      </c>
    </row>
    <row r="36" spans="1:13" ht="15" thickBot="1" x14ac:dyDescent="0.35"/>
    <row r="37" spans="1:13" ht="15" thickBot="1" x14ac:dyDescent="0.35">
      <c r="C37" s="182" t="s">
        <v>10</v>
      </c>
      <c r="D37" s="183"/>
      <c r="E37" s="183"/>
      <c r="F37" s="183"/>
      <c r="G37" s="184"/>
      <c r="I37" s="182" t="s">
        <v>9</v>
      </c>
      <c r="J37" s="183"/>
      <c r="K37" s="183"/>
      <c r="L37" s="183"/>
      <c r="M37" s="184"/>
    </row>
    <row r="38" spans="1:13" x14ac:dyDescent="0.3">
      <c r="A38" t="s">
        <v>17</v>
      </c>
    </row>
    <row r="39" spans="1:13" x14ac:dyDescent="0.3">
      <c r="C39">
        <v>0.5</v>
      </c>
      <c r="D39" t="s">
        <v>45</v>
      </c>
    </row>
    <row r="42" spans="1:13" x14ac:dyDescent="0.3">
      <c r="C42" t="s">
        <v>44</v>
      </c>
      <c r="D42" t="s">
        <v>43</v>
      </c>
      <c r="E42" t="s">
        <v>42</v>
      </c>
    </row>
    <row r="43" spans="1:13" x14ac:dyDescent="0.3">
      <c r="C43">
        <v>2018</v>
      </c>
      <c r="D43" s="26">
        <v>0.05</v>
      </c>
      <c r="E43" s="7">
        <v>1000</v>
      </c>
    </row>
    <row r="44" spans="1:13" x14ac:dyDescent="0.3">
      <c r="C44">
        <v>2019</v>
      </c>
      <c r="D44" s="26">
        <v>0.35</v>
      </c>
      <c r="E44" s="7">
        <v>1050</v>
      </c>
    </row>
    <row r="45" spans="1:13" x14ac:dyDescent="0.3">
      <c r="C45">
        <v>2020</v>
      </c>
      <c r="D45" s="26">
        <v>0.6</v>
      </c>
      <c r="E45" s="7">
        <v>1025</v>
      </c>
    </row>
  </sheetData>
  <mergeCells count="5">
    <mergeCell ref="C10:F10"/>
    <mergeCell ref="C16:G16"/>
    <mergeCell ref="I16:M16"/>
    <mergeCell ref="C37:G37"/>
    <mergeCell ref="I37:M37"/>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EA344-BC1C-40C3-9517-9099C6DC6E6D}">
  <sheetPr>
    <tabColor theme="9" tint="0.59999389629810485"/>
  </sheetPr>
  <dimension ref="A1:P40"/>
  <sheetViews>
    <sheetView workbookViewId="0">
      <selection activeCell="A3" sqref="A3"/>
    </sheetView>
  </sheetViews>
  <sheetFormatPr defaultRowHeight="14.4" x14ac:dyDescent="0.3"/>
  <cols>
    <col min="11" max="12" width="9.6640625" bestFit="1" customWidth="1"/>
  </cols>
  <sheetData>
    <row r="1" spans="1:8" ht="15" thickBot="1" x14ac:dyDescent="0.35">
      <c r="A1" t="s">
        <v>301</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21" spans="3:16" ht="15" thickBot="1" x14ac:dyDescent="0.35"/>
    <row r="22" spans="3:16" ht="15" thickBot="1" x14ac:dyDescent="0.35">
      <c r="C22" s="182" t="s">
        <v>10</v>
      </c>
      <c r="D22" s="183"/>
      <c r="E22" s="183"/>
      <c r="F22" s="183"/>
      <c r="G22" s="184"/>
      <c r="I22" s="182" t="s">
        <v>9</v>
      </c>
      <c r="J22" s="183"/>
      <c r="K22" s="183"/>
      <c r="L22" s="183"/>
      <c r="M22" s="184"/>
    </row>
    <row r="24" spans="3:16" x14ac:dyDescent="0.3">
      <c r="C24" t="s">
        <v>300</v>
      </c>
      <c r="D24" t="s">
        <v>299</v>
      </c>
      <c r="E24" t="s">
        <v>298</v>
      </c>
      <c r="F24" t="s">
        <v>297</v>
      </c>
      <c r="I24" t="s">
        <v>300</v>
      </c>
      <c r="J24" t="s">
        <v>299</v>
      </c>
      <c r="K24" t="s">
        <v>298</v>
      </c>
      <c r="L24" t="s">
        <v>297</v>
      </c>
    </row>
    <row r="25" spans="3:16" x14ac:dyDescent="0.3">
      <c r="C25" t="s">
        <v>296</v>
      </c>
      <c r="D25">
        <v>2</v>
      </c>
      <c r="E25">
        <v>20000</v>
      </c>
      <c r="F25">
        <v>200000</v>
      </c>
      <c r="I25" t="s">
        <v>296</v>
      </c>
      <c r="J25">
        <v>2</v>
      </c>
      <c r="K25" s="27">
        <v>20000</v>
      </c>
      <c r="L25" s="27">
        <v>200000</v>
      </c>
      <c r="M25" s="23" t="s">
        <v>494</v>
      </c>
      <c r="N25" s="23"/>
      <c r="O25" s="23"/>
      <c r="P25" s="23"/>
    </row>
    <row r="26" spans="3:16" x14ac:dyDescent="0.3">
      <c r="C26" t="s">
        <v>295</v>
      </c>
      <c r="D26">
        <v>30</v>
      </c>
      <c r="E26">
        <v>40000</v>
      </c>
      <c r="F26">
        <v>37000</v>
      </c>
      <c r="I26" t="s">
        <v>295</v>
      </c>
      <c r="J26">
        <v>30</v>
      </c>
      <c r="K26" s="27">
        <v>40000</v>
      </c>
      <c r="L26" s="27">
        <v>37000</v>
      </c>
    </row>
    <row r="27" spans="3:16" x14ac:dyDescent="0.3">
      <c r="C27" t="s">
        <v>294</v>
      </c>
      <c r="D27">
        <v>35</v>
      </c>
      <c r="E27">
        <v>45000</v>
      </c>
      <c r="F27">
        <v>40000</v>
      </c>
      <c r="I27" t="s">
        <v>294</v>
      </c>
      <c r="J27">
        <v>35</v>
      </c>
      <c r="K27" s="27">
        <v>45000</v>
      </c>
      <c r="L27" s="27">
        <v>40000</v>
      </c>
    </row>
    <row r="28" spans="3:16" x14ac:dyDescent="0.3">
      <c r="C28" t="s">
        <v>293</v>
      </c>
      <c r="D28">
        <v>35</v>
      </c>
      <c r="E28">
        <v>2500</v>
      </c>
      <c r="F28">
        <v>2600</v>
      </c>
      <c r="I28" t="s">
        <v>293</v>
      </c>
      <c r="J28">
        <v>35</v>
      </c>
      <c r="K28" s="27">
        <v>2500</v>
      </c>
      <c r="L28" s="27">
        <v>2600</v>
      </c>
    </row>
    <row r="29" spans="3:16" x14ac:dyDescent="0.3">
      <c r="C29" t="s">
        <v>292</v>
      </c>
      <c r="D29">
        <v>5</v>
      </c>
      <c r="E29">
        <v>12000</v>
      </c>
      <c r="F29">
        <v>15000</v>
      </c>
      <c r="I29" t="s">
        <v>292</v>
      </c>
      <c r="J29">
        <v>5</v>
      </c>
      <c r="K29" s="27">
        <v>12000</v>
      </c>
      <c r="L29" s="27">
        <v>15000</v>
      </c>
    </row>
    <row r="30" spans="3:16" x14ac:dyDescent="0.3">
      <c r="K30" s="27"/>
      <c r="L30" s="27"/>
    </row>
    <row r="31" spans="3:16" x14ac:dyDescent="0.3">
      <c r="J31">
        <f>SUM(J25:J29)</f>
        <v>107</v>
      </c>
      <c r="K31" s="27">
        <f>SUMPRODUCT(K25:K29,$J$25:$J$29)</f>
        <v>2962500</v>
      </c>
      <c r="L31" s="27">
        <f>SUMPRODUCT(L25:L29,$J$25:$J$29)</f>
        <v>3076000</v>
      </c>
    </row>
    <row r="32" spans="3:16" x14ac:dyDescent="0.3">
      <c r="K32" s="55">
        <f>K31/J31</f>
        <v>27686.915887850468</v>
      </c>
      <c r="L32" s="55">
        <f>L31/J31</f>
        <v>28747.663551401871</v>
      </c>
    </row>
    <row r="34" spans="10:12" x14ac:dyDescent="0.3">
      <c r="L34" s="70">
        <f>L31/K31</f>
        <v>1.0383122362869199</v>
      </c>
    </row>
    <row r="37" spans="10:12" x14ac:dyDescent="0.3">
      <c r="J37">
        <f>SUM(J26:J29)</f>
        <v>105</v>
      </c>
      <c r="K37" s="27">
        <f>SUMPRODUCT(K26:K29,$J$26:$J$29)</f>
        <v>2922500</v>
      </c>
      <c r="L37" s="27">
        <f>SUMPRODUCT(L26:L29,$J$26:$J$29)</f>
        <v>2676000</v>
      </c>
    </row>
    <row r="38" spans="10:12" x14ac:dyDescent="0.3">
      <c r="K38" s="55">
        <f>K37/J37</f>
        <v>27833.333333333332</v>
      </c>
      <c r="L38" s="55">
        <f>L37/J37</f>
        <v>25485.714285714286</v>
      </c>
    </row>
    <row r="40" spans="10:12" x14ac:dyDescent="0.3">
      <c r="L40" s="77">
        <f>L37/K37</f>
        <v>0.91565440547476473</v>
      </c>
    </row>
  </sheetData>
  <mergeCells count="3">
    <mergeCell ref="C10:F10"/>
    <mergeCell ref="C22:G22"/>
    <mergeCell ref="I22:M22"/>
  </mergeCell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12B9E-CF13-472A-BE2E-19615FA1AFFC}">
  <sheetPr>
    <tabColor theme="5" tint="0.39997558519241921"/>
  </sheetPr>
  <dimension ref="A1:N34"/>
  <sheetViews>
    <sheetView workbookViewId="0">
      <selection activeCell="K41" sqref="K41"/>
    </sheetView>
  </sheetViews>
  <sheetFormatPr defaultRowHeight="14.4" x14ac:dyDescent="0.3"/>
  <cols>
    <col min="3" max="3" width="19.6640625" customWidth="1"/>
    <col min="4" max="8" width="11.109375" customWidth="1"/>
    <col min="9" max="9" width="9.88671875" bestFit="1" customWidth="1"/>
    <col min="11" max="11" width="14.44140625" customWidth="1"/>
    <col min="12" max="15" width="11.6640625" customWidth="1"/>
    <col min="16" max="16" width="10.6640625" bestFit="1" customWidth="1"/>
    <col min="17" max="17" width="9.88671875" bestFit="1" customWidth="1"/>
    <col min="19" max="19" width="23.88671875" customWidth="1"/>
    <col min="20" max="20" width="16.109375" customWidth="1"/>
  </cols>
  <sheetData>
    <row r="1" spans="1:14" ht="15" thickBot="1" x14ac:dyDescent="0.35">
      <c r="A1" t="s">
        <v>316</v>
      </c>
      <c r="H1" s="25" t="s">
        <v>40</v>
      </c>
      <c r="I1" s="24"/>
    </row>
    <row r="2" spans="1:14" x14ac:dyDescent="0.3">
      <c r="H2" s="23" t="s">
        <v>39</v>
      </c>
      <c r="I2" s="23"/>
    </row>
    <row r="3" spans="1:14" ht="15" thickBot="1" x14ac:dyDescent="0.35">
      <c r="H3" s="22" t="s">
        <v>38</v>
      </c>
      <c r="I3" s="22"/>
    </row>
    <row r="4" spans="1:14" ht="15.6" thickTop="1" thickBot="1" x14ac:dyDescent="0.35">
      <c r="H4" s="21" t="s">
        <v>37</v>
      </c>
      <c r="I4" s="21"/>
    </row>
    <row r="5" spans="1:14" ht="15" thickTop="1" x14ac:dyDescent="0.3">
      <c r="H5" s="20" t="s">
        <v>36</v>
      </c>
      <c r="I5" s="19"/>
    </row>
    <row r="7" spans="1:14" ht="15" thickBot="1" x14ac:dyDescent="0.35"/>
    <row r="8" spans="1:14" ht="15" thickBot="1" x14ac:dyDescent="0.35">
      <c r="C8" s="182" t="s">
        <v>10</v>
      </c>
      <c r="D8" s="183"/>
      <c r="E8" s="183"/>
      <c r="F8" s="183"/>
      <c r="G8" s="183"/>
      <c r="H8" s="184"/>
      <c r="J8" s="182" t="s">
        <v>9</v>
      </c>
      <c r="K8" s="183"/>
      <c r="L8" s="183"/>
      <c r="M8" s="183"/>
      <c r="N8" s="184"/>
    </row>
    <row r="9" spans="1:14" s="6" customFormat="1" x14ac:dyDescent="0.3">
      <c r="A9" s="6" t="s">
        <v>53</v>
      </c>
    </row>
    <row r="10" spans="1:14" x14ac:dyDescent="0.3">
      <c r="D10" t="s">
        <v>286</v>
      </c>
      <c r="E10" t="s">
        <v>285</v>
      </c>
      <c r="F10" t="s">
        <v>284</v>
      </c>
      <c r="G10" t="s">
        <v>315</v>
      </c>
      <c r="H10" t="s">
        <v>314</v>
      </c>
    </row>
    <row r="11" spans="1:14" x14ac:dyDescent="0.3">
      <c r="C11" s="18" t="s">
        <v>313</v>
      </c>
      <c r="D11">
        <v>450</v>
      </c>
      <c r="E11">
        <v>200</v>
      </c>
      <c r="F11">
        <v>325</v>
      </c>
      <c r="G11">
        <v>150</v>
      </c>
      <c r="H11">
        <v>500</v>
      </c>
    </row>
    <row r="12" spans="1:14" x14ac:dyDescent="0.3">
      <c r="C12" s="18" t="s">
        <v>312</v>
      </c>
      <c r="D12">
        <v>3.5</v>
      </c>
      <c r="E12">
        <v>2.4</v>
      </c>
      <c r="F12">
        <v>4.0999999999999996</v>
      </c>
      <c r="G12">
        <v>2.7</v>
      </c>
      <c r="H12">
        <v>4</v>
      </c>
    </row>
    <row r="13" spans="1:14" x14ac:dyDescent="0.3">
      <c r="C13" s="18" t="s">
        <v>311</v>
      </c>
      <c r="D13" s="55">
        <v>3200</v>
      </c>
      <c r="E13" s="55">
        <v>3600</v>
      </c>
      <c r="F13" s="55">
        <v>3800</v>
      </c>
      <c r="G13" s="55">
        <v>4100</v>
      </c>
      <c r="H13" s="55">
        <v>2900</v>
      </c>
    </row>
    <row r="14" spans="1:14" x14ac:dyDescent="0.3">
      <c r="C14" s="18" t="s">
        <v>310</v>
      </c>
      <c r="D14" s="3">
        <v>0.2</v>
      </c>
      <c r="E14" s="3">
        <v>0.2</v>
      </c>
      <c r="F14" s="3">
        <v>0.2</v>
      </c>
      <c r="G14" s="3">
        <v>0.2</v>
      </c>
      <c r="H14" s="3">
        <v>0.2</v>
      </c>
    </row>
    <row r="22" spans="1:8" s="6" customFormat="1" x14ac:dyDescent="0.3">
      <c r="A22" s="6" t="s">
        <v>17</v>
      </c>
    </row>
    <row r="23" spans="1:8" ht="15" thickBot="1" x14ac:dyDescent="0.35"/>
    <row r="24" spans="1:8" ht="15" thickBot="1" x14ac:dyDescent="0.35">
      <c r="C24" s="182" t="s">
        <v>10</v>
      </c>
      <c r="D24" s="183"/>
      <c r="E24" s="183"/>
      <c r="F24" s="183"/>
      <c r="G24" s="183"/>
      <c r="H24" s="184"/>
    </row>
    <row r="27" spans="1:8" x14ac:dyDescent="0.3">
      <c r="C27" s="53" t="s">
        <v>309</v>
      </c>
      <c r="D27" s="190" t="s">
        <v>308</v>
      </c>
      <c r="E27" s="190"/>
      <c r="F27" s="190"/>
      <c r="G27" s="190"/>
      <c r="H27" s="190"/>
    </row>
    <row r="28" spans="1:8" ht="28.8" x14ac:dyDescent="0.3">
      <c r="C28" s="53" t="s">
        <v>307</v>
      </c>
      <c r="D28" s="186" t="s">
        <v>306</v>
      </c>
      <c r="E28" s="186"/>
      <c r="F28" s="186"/>
      <c r="G28" s="186"/>
      <c r="H28" s="186"/>
    </row>
    <row r="29" spans="1:8" ht="28.8" x14ac:dyDescent="0.3">
      <c r="C29" s="53" t="s">
        <v>305</v>
      </c>
      <c r="D29" s="186" t="s">
        <v>304</v>
      </c>
      <c r="E29" s="186"/>
      <c r="F29" s="186"/>
      <c r="G29" s="186"/>
      <c r="H29" s="186"/>
    </row>
    <row r="30" spans="1:8" ht="28.95" customHeight="1" x14ac:dyDescent="0.3">
      <c r="C30" s="53" t="s">
        <v>303</v>
      </c>
      <c r="D30" s="186" t="s">
        <v>302</v>
      </c>
      <c r="E30" s="186"/>
      <c r="F30" s="186"/>
      <c r="G30" s="186"/>
      <c r="H30" s="186"/>
    </row>
    <row r="33" spans="3:7" ht="15" thickBot="1" x14ac:dyDescent="0.35"/>
    <row r="34" spans="3:7" ht="15" thickBot="1" x14ac:dyDescent="0.35">
      <c r="C34" s="182" t="s">
        <v>9</v>
      </c>
      <c r="D34" s="183"/>
      <c r="E34" s="183"/>
      <c r="F34" s="183"/>
      <c r="G34" s="184"/>
    </row>
  </sheetData>
  <mergeCells count="8">
    <mergeCell ref="D30:H30"/>
    <mergeCell ref="C34:G34"/>
    <mergeCell ref="C8:H8"/>
    <mergeCell ref="J8:N8"/>
    <mergeCell ref="C24:H24"/>
    <mergeCell ref="D27:H27"/>
    <mergeCell ref="D28:H28"/>
    <mergeCell ref="D29:H29"/>
  </mergeCells>
  <hyperlinks>
    <hyperlink ref="A1" r:id="rId1" location="page=8" display="Exam" xr:uid="{075D61C1-760A-4E7B-A161-46BBA5EA15D2}"/>
    <hyperlink ref="A2" r:id="rId2" location="page=13" display="Solution" xr:uid="{E113F3D1-34AC-4AF2-8630-93E5BA2D7315}"/>
  </hyperlinks>
  <pageMargins left="0.7" right="0.7" top="0.75" bottom="0.75" header="0.3" footer="0.3"/>
  <pageSetup orientation="portrait"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C1499-BF63-4907-9FD0-462BC077174D}">
  <sheetPr>
    <tabColor theme="9" tint="0.59999389629810485"/>
  </sheetPr>
  <dimension ref="A1:P74"/>
  <sheetViews>
    <sheetView workbookViewId="0">
      <selection activeCell="A3" sqref="A3"/>
    </sheetView>
  </sheetViews>
  <sheetFormatPr defaultRowHeight="14.4" x14ac:dyDescent="0.3"/>
  <cols>
    <col min="3" max="3" width="19.6640625" customWidth="1"/>
    <col min="4" max="8" width="11.109375" customWidth="1"/>
    <col min="9" max="9" width="9.88671875" bestFit="1" customWidth="1"/>
    <col min="11" max="11" width="14.44140625" customWidth="1"/>
    <col min="12" max="15" width="11.6640625" customWidth="1"/>
    <col min="16" max="16" width="10.6640625" bestFit="1" customWidth="1"/>
    <col min="17" max="17" width="9.88671875" bestFit="1" customWidth="1"/>
    <col min="19" max="19" width="23.88671875" customWidth="1"/>
    <col min="20" max="20" width="16.109375" customWidth="1"/>
  </cols>
  <sheetData>
    <row r="1" spans="1:16" ht="15" thickBot="1" x14ac:dyDescent="0.35">
      <c r="A1" t="s">
        <v>316</v>
      </c>
      <c r="H1" s="25" t="s">
        <v>40</v>
      </c>
      <c r="I1" s="24"/>
    </row>
    <row r="2" spans="1:16" x14ac:dyDescent="0.3">
      <c r="H2" s="23" t="s">
        <v>39</v>
      </c>
      <c r="I2" s="23"/>
    </row>
    <row r="3" spans="1:16" ht="15" thickBot="1" x14ac:dyDescent="0.35">
      <c r="H3" s="22" t="s">
        <v>38</v>
      </c>
      <c r="I3" s="22"/>
    </row>
    <row r="4" spans="1:16" ht="15.6" thickTop="1" thickBot="1" x14ac:dyDescent="0.35">
      <c r="H4" s="21" t="s">
        <v>37</v>
      </c>
      <c r="I4" s="21"/>
    </row>
    <row r="5" spans="1:16" ht="15" thickTop="1" x14ac:dyDescent="0.3">
      <c r="H5" s="20" t="s">
        <v>36</v>
      </c>
      <c r="I5" s="19"/>
    </row>
    <row r="7" spans="1:16" ht="15" thickBot="1" x14ac:dyDescent="0.35"/>
    <row r="8" spans="1:16" ht="15" thickBot="1" x14ac:dyDescent="0.35">
      <c r="C8" s="182" t="s">
        <v>10</v>
      </c>
      <c r="D8" s="183"/>
      <c r="E8" s="183"/>
      <c r="F8" s="183"/>
      <c r="G8" s="183"/>
      <c r="H8" s="184"/>
      <c r="J8" s="182" t="s">
        <v>9</v>
      </c>
      <c r="K8" s="183"/>
      <c r="L8" s="183"/>
      <c r="M8" s="183"/>
      <c r="N8" s="184"/>
    </row>
    <row r="9" spans="1:16" s="6" customFormat="1" x14ac:dyDescent="0.3">
      <c r="A9" s="6" t="s">
        <v>53</v>
      </c>
    </row>
    <row r="10" spans="1:16" x14ac:dyDescent="0.3">
      <c r="D10" t="s">
        <v>286</v>
      </c>
      <c r="E10" t="s">
        <v>285</v>
      </c>
      <c r="F10" t="s">
        <v>284</v>
      </c>
      <c r="G10" t="s">
        <v>315</v>
      </c>
      <c r="H10" t="s">
        <v>314</v>
      </c>
      <c r="K10" t="s">
        <v>286</v>
      </c>
      <c r="L10" t="s">
        <v>285</v>
      </c>
      <c r="M10" t="s">
        <v>284</v>
      </c>
      <c r="N10" t="s">
        <v>315</v>
      </c>
      <c r="O10" t="s">
        <v>314</v>
      </c>
      <c r="P10" t="s">
        <v>380</v>
      </c>
    </row>
    <row r="11" spans="1:16" x14ac:dyDescent="0.3">
      <c r="C11" s="18" t="s">
        <v>313</v>
      </c>
      <c r="D11">
        <v>450</v>
      </c>
      <c r="E11">
        <v>200</v>
      </c>
      <c r="F11">
        <v>325</v>
      </c>
      <c r="G11">
        <v>150</v>
      </c>
      <c r="H11">
        <v>500</v>
      </c>
      <c r="J11" s="18" t="s">
        <v>313</v>
      </c>
      <c r="K11">
        <v>450</v>
      </c>
      <c r="L11">
        <v>200</v>
      </c>
      <c r="M11">
        <v>325</v>
      </c>
      <c r="N11">
        <v>150</v>
      </c>
      <c r="O11">
        <v>500</v>
      </c>
      <c r="P11">
        <f>SUM(K11:O11)</f>
        <v>1625</v>
      </c>
    </row>
    <row r="12" spans="1:16" x14ac:dyDescent="0.3">
      <c r="C12" s="18" t="s">
        <v>312</v>
      </c>
      <c r="D12">
        <v>3.5</v>
      </c>
      <c r="E12">
        <v>2.4</v>
      </c>
      <c r="F12">
        <v>4.0999999999999996</v>
      </c>
      <c r="G12">
        <v>2.7</v>
      </c>
      <c r="H12">
        <v>4</v>
      </c>
      <c r="J12" s="18" t="s">
        <v>312</v>
      </c>
      <c r="K12">
        <v>3.5</v>
      </c>
      <c r="L12">
        <v>2.4</v>
      </c>
      <c r="M12">
        <v>4.0999999999999996</v>
      </c>
      <c r="N12">
        <v>2.7</v>
      </c>
      <c r="O12">
        <v>4</v>
      </c>
    </row>
    <row r="13" spans="1:16" x14ac:dyDescent="0.3">
      <c r="C13" s="18" t="s">
        <v>311</v>
      </c>
      <c r="D13" s="55">
        <v>3200</v>
      </c>
      <c r="E13" s="55">
        <v>3600</v>
      </c>
      <c r="F13" s="55">
        <v>3800</v>
      </c>
      <c r="G13" s="55">
        <v>4100</v>
      </c>
      <c r="H13" s="55">
        <v>2900</v>
      </c>
      <c r="J13" s="18" t="s">
        <v>515</v>
      </c>
      <c r="K13" s="55">
        <f>D13/(1-D14)</f>
        <v>4000</v>
      </c>
      <c r="L13" s="55">
        <f>E13/(1-E14)</f>
        <v>4500</v>
      </c>
      <c r="M13" s="55">
        <f>F13/(1-F14)</f>
        <v>4750</v>
      </c>
      <c r="N13" s="55">
        <f>G13/(1-G14)</f>
        <v>5125</v>
      </c>
      <c r="O13" s="55">
        <f>H13/(1-H14)</f>
        <v>3625</v>
      </c>
    </row>
    <row r="14" spans="1:16" x14ac:dyDescent="0.3">
      <c r="C14" s="18" t="s">
        <v>310</v>
      </c>
      <c r="D14" s="3">
        <v>0.2</v>
      </c>
      <c r="E14" s="3">
        <v>0.2</v>
      </c>
      <c r="F14" s="3">
        <v>0.2</v>
      </c>
      <c r="G14" s="3">
        <v>0.2</v>
      </c>
      <c r="H14" s="3">
        <v>0.2</v>
      </c>
      <c r="J14" s="18" t="s">
        <v>514</v>
      </c>
      <c r="K14" s="27">
        <f>K12*K13*K11</f>
        <v>6300000</v>
      </c>
      <c r="L14" s="27">
        <f>L12*L13*L11</f>
        <v>2160000</v>
      </c>
      <c r="M14" s="27">
        <f>M12*M13*M11</f>
        <v>6329375</v>
      </c>
      <c r="N14" s="27">
        <f>N12*N13*N11</f>
        <v>2075625.0000000002</v>
      </c>
      <c r="O14" s="27">
        <f>O12*O13*O11</f>
        <v>7250000</v>
      </c>
      <c r="P14" s="27">
        <f>SUM(K14:O14)</f>
        <v>24115000</v>
      </c>
    </row>
    <row r="16" spans="1:16" x14ac:dyDescent="0.3">
      <c r="J16" s="18" t="s">
        <v>513</v>
      </c>
      <c r="K16" s="55">
        <f>K13*K12</f>
        <v>14000</v>
      </c>
      <c r="L16" s="55">
        <f>L13*L12</f>
        <v>10800</v>
      </c>
      <c r="M16" s="55">
        <f>M13*M12</f>
        <v>19475</v>
      </c>
      <c r="N16" s="55">
        <f>N13*N12</f>
        <v>13837.500000000002</v>
      </c>
      <c r="O16" s="55">
        <f>O13*O12</f>
        <v>14500</v>
      </c>
    </row>
    <row r="18" spans="1:15" x14ac:dyDescent="0.3">
      <c r="J18" s="18" t="s">
        <v>512</v>
      </c>
      <c r="K18" s="19">
        <f>P14/P11</f>
        <v>14840</v>
      </c>
    </row>
    <row r="20" spans="1:15" x14ac:dyDescent="0.3">
      <c r="J20" t="s">
        <v>511</v>
      </c>
      <c r="K20" t="b">
        <f>K16&gt;$K$18</f>
        <v>0</v>
      </c>
      <c r="L20" t="b">
        <f>L16&gt;$K$18</f>
        <v>0</v>
      </c>
      <c r="M20" s="20" t="b">
        <f>M16&gt;$K$18</f>
        <v>1</v>
      </c>
      <c r="N20" t="b">
        <f>N16&gt;$K$18</f>
        <v>0</v>
      </c>
      <c r="O20" t="b">
        <f>O16&gt;$K$18</f>
        <v>0</v>
      </c>
    </row>
    <row r="22" spans="1:15" s="6" customFormat="1" x14ac:dyDescent="0.3">
      <c r="A22" s="6" t="s">
        <v>17</v>
      </c>
    </row>
    <row r="23" spans="1:15" ht="15" thickBot="1" x14ac:dyDescent="0.35"/>
    <row r="24" spans="1:15" ht="15" thickBot="1" x14ac:dyDescent="0.35">
      <c r="C24" s="182" t="s">
        <v>10</v>
      </c>
      <c r="D24" s="183"/>
      <c r="E24" s="183"/>
      <c r="F24" s="183"/>
      <c r="G24" s="183"/>
      <c r="H24" s="184"/>
    </row>
    <row r="27" spans="1:15" x14ac:dyDescent="0.3">
      <c r="C27" s="53" t="s">
        <v>309</v>
      </c>
      <c r="D27" s="190" t="s">
        <v>308</v>
      </c>
      <c r="E27" s="190"/>
      <c r="F27" s="190"/>
      <c r="G27" s="190"/>
      <c r="H27" s="190"/>
    </row>
    <row r="28" spans="1:15" ht="28.8" x14ac:dyDescent="0.3">
      <c r="C28" s="53" t="s">
        <v>307</v>
      </c>
      <c r="D28" s="186" t="s">
        <v>306</v>
      </c>
      <c r="E28" s="186"/>
      <c r="F28" s="186"/>
      <c r="G28" s="186"/>
      <c r="H28" s="186"/>
    </row>
    <row r="29" spans="1:15" ht="28.8" x14ac:dyDescent="0.3">
      <c r="C29" s="53" t="s">
        <v>305</v>
      </c>
      <c r="D29" s="186" t="s">
        <v>304</v>
      </c>
      <c r="E29" s="186"/>
      <c r="F29" s="186"/>
      <c r="G29" s="186"/>
      <c r="H29" s="186"/>
    </row>
    <row r="30" spans="1:15" ht="28.95" customHeight="1" x14ac:dyDescent="0.3">
      <c r="C30" s="53" t="s">
        <v>303</v>
      </c>
      <c r="D30" s="186" t="s">
        <v>302</v>
      </c>
      <c r="E30" s="186"/>
      <c r="F30" s="186"/>
      <c r="G30" s="186"/>
      <c r="H30" s="186"/>
    </row>
    <row r="33" spans="3:7" ht="15" thickBot="1" x14ac:dyDescent="0.35"/>
    <row r="34" spans="3:7" ht="15" thickBot="1" x14ac:dyDescent="0.35">
      <c r="C34" s="182" t="s">
        <v>9</v>
      </c>
      <c r="D34" s="183"/>
      <c r="E34" s="183"/>
      <c r="F34" s="183"/>
      <c r="G34" s="184"/>
    </row>
    <row r="38" spans="3:7" x14ac:dyDescent="0.3">
      <c r="D38" t="s">
        <v>284</v>
      </c>
    </row>
    <row r="39" spans="3:7" x14ac:dyDescent="0.3">
      <c r="C39" t="s">
        <v>498</v>
      </c>
      <c r="D39" s="55">
        <f>M16</f>
        <v>19475</v>
      </c>
    </row>
    <row r="40" spans="3:7" x14ac:dyDescent="0.3">
      <c r="C40" t="s">
        <v>510</v>
      </c>
      <c r="D40" s="27">
        <f>K18</f>
        <v>14840</v>
      </c>
    </row>
    <row r="42" spans="3:7" x14ac:dyDescent="0.3">
      <c r="C42" t="s">
        <v>509</v>
      </c>
      <c r="D42" s="55">
        <f>D39*(1-$F$14)</f>
        <v>15580</v>
      </c>
    </row>
    <row r="43" spans="3:7" x14ac:dyDescent="0.3">
      <c r="C43" t="s">
        <v>508</v>
      </c>
      <c r="D43" s="55">
        <f>D40*(1-$F$14)</f>
        <v>11872</v>
      </c>
    </row>
    <row r="45" spans="3:7" x14ac:dyDescent="0.3">
      <c r="C45" t="s">
        <v>507</v>
      </c>
      <c r="D45" s="55">
        <f>D42-D43</f>
        <v>3708</v>
      </c>
    </row>
    <row r="48" spans="3:7" ht="28.8" x14ac:dyDescent="0.3">
      <c r="C48" s="53" t="s">
        <v>307</v>
      </c>
    </row>
    <row r="50" spans="3:4" x14ac:dyDescent="0.3">
      <c r="C50" t="s">
        <v>506</v>
      </c>
      <c r="D50" s="55">
        <f>D39</f>
        <v>19475</v>
      </c>
    </row>
    <row r="51" spans="3:4" x14ac:dyDescent="0.3">
      <c r="C51" t="s">
        <v>505</v>
      </c>
      <c r="D51" s="55">
        <f>D43</f>
        <v>11872</v>
      </c>
    </row>
    <row r="52" spans="3:4" x14ac:dyDescent="0.3">
      <c r="C52" t="s">
        <v>495</v>
      </c>
      <c r="D52" s="70">
        <f>(1-D51/D50)</f>
        <v>0.390397946084724</v>
      </c>
    </row>
    <row r="55" spans="3:4" ht="28.8" x14ac:dyDescent="0.3">
      <c r="C55" s="53" t="s">
        <v>305</v>
      </c>
    </row>
    <row r="57" spans="3:4" x14ac:dyDescent="0.3">
      <c r="C57" t="s">
        <v>479</v>
      </c>
      <c r="D57" s="19">
        <f>D39-2*D45</f>
        <v>12059</v>
      </c>
    </row>
    <row r="58" spans="3:4" x14ac:dyDescent="0.3">
      <c r="C58" t="s">
        <v>504</v>
      </c>
      <c r="D58" s="55">
        <f>$D$39</f>
        <v>19475</v>
      </c>
    </row>
    <row r="59" spans="3:4" x14ac:dyDescent="0.3">
      <c r="C59" t="s">
        <v>503</v>
      </c>
      <c r="D59" s="55">
        <f>0.5*(D57-D58)</f>
        <v>-3708</v>
      </c>
    </row>
    <row r="60" spans="3:4" x14ac:dyDescent="0.3">
      <c r="C60" t="s">
        <v>502</v>
      </c>
      <c r="D60" s="55">
        <f>$F$14*D58</f>
        <v>3895</v>
      </c>
    </row>
    <row r="61" spans="3:4" x14ac:dyDescent="0.3">
      <c r="C61" t="s">
        <v>501</v>
      </c>
      <c r="D61" s="55">
        <f>D58-D60+D59</f>
        <v>11872</v>
      </c>
    </row>
    <row r="63" spans="3:4" x14ac:dyDescent="0.3">
      <c r="C63" t="s">
        <v>500</v>
      </c>
      <c r="D63" s="55">
        <f>$D$43-D61</f>
        <v>0</v>
      </c>
    </row>
    <row r="67" spans="3:6" x14ac:dyDescent="0.3">
      <c r="C67" s="53" t="s">
        <v>303</v>
      </c>
      <c r="E67" s="3">
        <v>0.1</v>
      </c>
      <c r="F67" t="s">
        <v>499</v>
      </c>
    </row>
    <row r="69" spans="3:6" x14ac:dyDescent="0.3">
      <c r="C69" t="s">
        <v>498</v>
      </c>
      <c r="D69" s="55">
        <f>$D$39</f>
        <v>19475</v>
      </c>
    </row>
    <row r="70" spans="3:6" x14ac:dyDescent="0.3">
      <c r="C70" t="s">
        <v>497</v>
      </c>
      <c r="D70" s="55">
        <f>D69*(1+E67)</f>
        <v>21422.5</v>
      </c>
    </row>
    <row r="72" spans="3:6" x14ac:dyDescent="0.3">
      <c r="C72" t="s">
        <v>496</v>
      </c>
      <c r="D72" s="55">
        <f>D43</f>
        <v>11872</v>
      </c>
    </row>
    <row r="74" spans="3:6" x14ac:dyDescent="0.3">
      <c r="C74" t="s">
        <v>495</v>
      </c>
      <c r="D74" s="70">
        <f>1-D72/D70</f>
        <v>0.4458163146224764</v>
      </c>
    </row>
  </sheetData>
  <mergeCells count="8">
    <mergeCell ref="D30:H30"/>
    <mergeCell ref="C34:G34"/>
    <mergeCell ref="C8:H8"/>
    <mergeCell ref="J8:N8"/>
    <mergeCell ref="C24:H24"/>
    <mergeCell ref="D27:H27"/>
    <mergeCell ref="D28:H28"/>
    <mergeCell ref="D29:H29"/>
  </mergeCell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7EA53-DDEB-4ED0-9592-913BA9B3EA07}">
  <sheetPr>
    <tabColor theme="5" tint="0.39997558519241921"/>
  </sheetPr>
  <dimension ref="A1:M22"/>
  <sheetViews>
    <sheetView workbookViewId="0">
      <selection activeCell="K41" sqref="K41"/>
    </sheetView>
  </sheetViews>
  <sheetFormatPr defaultRowHeight="14.4" x14ac:dyDescent="0.3"/>
  <cols>
    <col min="9" max="9" width="11.88671875" customWidth="1"/>
    <col min="10" max="13" width="22.21875" customWidth="1"/>
  </cols>
  <sheetData>
    <row r="1" spans="1:8" ht="15" thickBot="1" x14ac:dyDescent="0.35">
      <c r="A1" t="s">
        <v>323</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C12" s="5">
        <v>5000</v>
      </c>
      <c r="D12" t="s">
        <v>322</v>
      </c>
    </row>
    <row r="13" spans="1:8" x14ac:dyDescent="0.3">
      <c r="C13" s="27">
        <v>961</v>
      </c>
      <c r="D13" t="s">
        <v>321</v>
      </c>
    </row>
    <row r="14" spans="1:8" x14ac:dyDescent="0.3">
      <c r="C14" s="27">
        <v>1172</v>
      </c>
      <c r="D14" t="s">
        <v>320</v>
      </c>
    </row>
    <row r="15" spans="1:8" x14ac:dyDescent="0.3">
      <c r="D15" t="s">
        <v>319</v>
      </c>
    </row>
    <row r="16" spans="1:8" x14ac:dyDescent="0.3">
      <c r="C16" s="3">
        <v>0.5</v>
      </c>
      <c r="D16" t="s">
        <v>318</v>
      </c>
    </row>
    <row r="17" spans="3:13" x14ac:dyDescent="0.3">
      <c r="C17" s="3">
        <v>0.87</v>
      </c>
      <c r="D17" t="s">
        <v>317</v>
      </c>
    </row>
    <row r="21" spans="3:13" ht="15" thickBot="1" x14ac:dyDescent="0.35"/>
    <row r="22" spans="3:13" ht="15" thickBot="1" x14ac:dyDescent="0.35">
      <c r="C22" s="182" t="s">
        <v>10</v>
      </c>
      <c r="D22" s="183"/>
      <c r="E22" s="183"/>
      <c r="F22" s="183"/>
      <c r="G22" s="184"/>
      <c r="I22" s="182" t="s">
        <v>9</v>
      </c>
      <c r="J22" s="183"/>
      <c r="K22" s="183"/>
      <c r="L22" s="183"/>
      <c r="M22" s="184"/>
    </row>
  </sheetData>
  <mergeCells count="3">
    <mergeCell ref="C10:F10"/>
    <mergeCell ref="C22:G22"/>
    <mergeCell ref="I22:M22"/>
  </mergeCell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A17A3-5C0F-410F-93A1-BCCC73200E1F}">
  <sheetPr>
    <tabColor theme="9" tint="0.59999389629810485"/>
  </sheetPr>
  <dimension ref="A1:M40"/>
  <sheetViews>
    <sheetView workbookViewId="0">
      <selection activeCell="A3" sqref="A3"/>
    </sheetView>
  </sheetViews>
  <sheetFormatPr defaultRowHeight="14.4" x14ac:dyDescent="0.3"/>
  <cols>
    <col min="9" max="9" width="11.88671875" customWidth="1"/>
    <col min="10" max="13" width="22.21875" customWidth="1"/>
  </cols>
  <sheetData>
    <row r="1" spans="1:8" ht="15" thickBot="1" x14ac:dyDescent="0.35">
      <c r="A1" t="s">
        <v>323</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C12" s="5">
        <v>5000</v>
      </c>
      <c r="D12" t="s">
        <v>322</v>
      </c>
    </row>
    <row r="13" spans="1:8" x14ac:dyDescent="0.3">
      <c r="C13" s="27">
        <v>961</v>
      </c>
      <c r="D13" t="s">
        <v>321</v>
      </c>
    </row>
    <row r="14" spans="1:8" x14ac:dyDescent="0.3">
      <c r="C14" s="27">
        <v>1172</v>
      </c>
      <c r="D14" t="s">
        <v>320</v>
      </c>
    </row>
    <row r="15" spans="1:8" x14ac:dyDescent="0.3">
      <c r="D15" t="s">
        <v>319</v>
      </c>
    </row>
    <row r="16" spans="1:8" x14ac:dyDescent="0.3">
      <c r="C16" s="3">
        <v>0.5</v>
      </c>
      <c r="D16" t="s">
        <v>318</v>
      </c>
    </row>
    <row r="17" spans="3:13" x14ac:dyDescent="0.3">
      <c r="C17" s="3">
        <v>0.87</v>
      </c>
      <c r="D17" t="s">
        <v>317</v>
      </c>
    </row>
    <row r="21" spans="3:13" ht="15" thickBot="1" x14ac:dyDescent="0.35"/>
    <row r="22" spans="3:13" ht="15" thickBot="1" x14ac:dyDescent="0.35">
      <c r="C22" s="182" t="s">
        <v>10</v>
      </c>
      <c r="D22" s="183"/>
      <c r="E22" s="183"/>
      <c r="F22" s="183"/>
      <c r="G22" s="184"/>
      <c r="I22" s="182" t="s">
        <v>9</v>
      </c>
      <c r="J22" s="183"/>
      <c r="K22" s="183"/>
      <c r="L22" s="183"/>
      <c r="M22" s="184"/>
    </row>
    <row r="25" spans="3:13" x14ac:dyDescent="0.3">
      <c r="J25" t="s">
        <v>524</v>
      </c>
    </row>
    <row r="26" spans="3:13" x14ac:dyDescent="0.3">
      <c r="I26" s="3">
        <f>C13/C14</f>
        <v>0.81996587030716728</v>
      </c>
      <c r="J26" t="s">
        <v>523</v>
      </c>
    </row>
    <row r="28" spans="3:13" x14ac:dyDescent="0.3">
      <c r="I28" t="b">
        <f>I26&lt;C17</f>
        <v>1</v>
      </c>
      <c r="J28" t="s">
        <v>522</v>
      </c>
    </row>
    <row r="30" spans="3:13" x14ac:dyDescent="0.3">
      <c r="J30" t="s">
        <v>521</v>
      </c>
    </row>
    <row r="31" spans="3:13" x14ac:dyDescent="0.3">
      <c r="I31" s="99">
        <f>1172*0.87</f>
        <v>1019.64</v>
      </c>
      <c r="J31" t="s">
        <v>520</v>
      </c>
    </row>
    <row r="33" spans="9:12" x14ac:dyDescent="0.3">
      <c r="I33" s="98">
        <f>0.5*(I31-961)</f>
        <v>29.319999999999993</v>
      </c>
      <c r="J33" s="6" t="s">
        <v>519</v>
      </c>
      <c r="K33" s="6"/>
      <c r="L33" s="6"/>
    </row>
    <row r="34" spans="9:12" x14ac:dyDescent="0.3">
      <c r="I34" s="89">
        <f>I33*C12*12</f>
        <v>1759199.9999999995</v>
      </c>
      <c r="J34" t="s">
        <v>518</v>
      </c>
    </row>
    <row r="36" spans="9:12" x14ac:dyDescent="0.3">
      <c r="I36" t="s">
        <v>517</v>
      </c>
    </row>
    <row r="37" spans="9:12" x14ac:dyDescent="0.3">
      <c r="I37" s="191" t="s">
        <v>516</v>
      </c>
      <c r="J37" s="191"/>
      <c r="K37" s="191"/>
    </row>
    <row r="38" spans="9:12" x14ac:dyDescent="0.3">
      <c r="I38" s="191"/>
      <c r="J38" s="191"/>
      <c r="K38" s="191"/>
    </row>
    <row r="39" spans="9:12" x14ac:dyDescent="0.3">
      <c r="I39" s="191"/>
      <c r="J39" s="191"/>
      <c r="K39" s="191"/>
    </row>
    <row r="40" spans="9:12" x14ac:dyDescent="0.3">
      <c r="I40" s="191"/>
      <c r="J40" s="191"/>
      <c r="K40" s="191"/>
    </row>
  </sheetData>
  <mergeCells count="4">
    <mergeCell ref="C10:F10"/>
    <mergeCell ref="C22:G22"/>
    <mergeCell ref="I22:M22"/>
    <mergeCell ref="I37:K40"/>
  </mergeCell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1C444-C5FD-417C-91B8-76D2E6AD288A}">
  <sheetPr>
    <tabColor theme="5" tint="0.39997558519241921"/>
  </sheetPr>
  <dimension ref="A1:J34"/>
  <sheetViews>
    <sheetView workbookViewId="0">
      <selection activeCell="K41" sqref="K41"/>
    </sheetView>
  </sheetViews>
  <sheetFormatPr defaultRowHeight="14.4" x14ac:dyDescent="0.3"/>
  <cols>
    <col min="3" max="3" width="28.6640625" customWidth="1"/>
    <col min="4" max="9" width="20.109375" customWidth="1"/>
    <col min="10" max="10" width="13" customWidth="1"/>
  </cols>
  <sheetData>
    <row r="1" spans="1:8" ht="15" thickBot="1" x14ac:dyDescent="0.35">
      <c r="A1" t="s">
        <v>338</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7" spans="1:8" ht="15" thickBot="1" x14ac:dyDescent="0.35"/>
    <row r="8" spans="1:8" ht="15" thickBot="1" x14ac:dyDescent="0.35">
      <c r="C8" s="182" t="s">
        <v>16</v>
      </c>
      <c r="D8" s="183"/>
      <c r="E8" s="183"/>
      <c r="F8" s="184"/>
    </row>
    <row r="10" spans="1:8" x14ac:dyDescent="0.3">
      <c r="C10" s="66"/>
      <c r="D10" s="2" t="s">
        <v>337</v>
      </c>
    </row>
    <row r="11" spans="1:8" x14ac:dyDescent="0.3">
      <c r="C11" s="2" t="s">
        <v>327</v>
      </c>
      <c r="D11" s="65">
        <v>0.4</v>
      </c>
    </row>
    <row r="12" spans="1:8" x14ac:dyDescent="0.3">
      <c r="C12" s="2" t="s">
        <v>326</v>
      </c>
      <c r="D12" s="65">
        <v>0.4</v>
      </c>
    </row>
    <row r="13" spans="1:8" x14ac:dyDescent="0.3">
      <c r="C13" s="2" t="s">
        <v>325</v>
      </c>
      <c r="D13" s="65">
        <v>0.25</v>
      </c>
    </row>
    <row r="14" spans="1:8" x14ac:dyDescent="0.3">
      <c r="C14" s="2" t="s">
        <v>324</v>
      </c>
      <c r="D14" s="65">
        <v>0.15</v>
      </c>
    </row>
    <row r="15" spans="1:8" ht="15" thickBot="1" x14ac:dyDescent="0.35"/>
    <row r="16" spans="1:8" ht="15" thickBot="1" x14ac:dyDescent="0.35">
      <c r="C16" s="182" t="s">
        <v>10</v>
      </c>
      <c r="D16" s="183"/>
      <c r="E16" s="183"/>
      <c r="F16" s="183"/>
      <c r="G16" s="184"/>
    </row>
    <row r="18" spans="3:10" ht="15.6" x14ac:dyDescent="0.3">
      <c r="C18" s="63" t="s">
        <v>336</v>
      </c>
      <c r="D18" s="1" t="s">
        <v>333</v>
      </c>
      <c r="E18" s="1" t="s">
        <v>331</v>
      </c>
      <c r="F18" s="1" t="s">
        <v>333</v>
      </c>
      <c r="G18" s="1" t="s">
        <v>331</v>
      </c>
      <c r="H18" s="1" t="s">
        <v>333</v>
      </c>
      <c r="I18" s="1" t="s">
        <v>331</v>
      </c>
    </row>
    <row r="19" spans="3:10" ht="15.6" x14ac:dyDescent="0.3">
      <c r="C19" s="63"/>
      <c r="D19" s="188" t="s">
        <v>330</v>
      </c>
      <c r="E19" s="188"/>
      <c r="F19" s="188" t="s">
        <v>329</v>
      </c>
      <c r="G19" s="188"/>
      <c r="H19" s="188" t="s">
        <v>335</v>
      </c>
      <c r="I19" s="188"/>
    </row>
    <row r="20" spans="3:10" x14ac:dyDescent="0.3">
      <c r="C20" s="2" t="s">
        <v>327</v>
      </c>
      <c r="D20" s="61">
        <v>20</v>
      </c>
      <c r="E20" s="61">
        <v>20</v>
      </c>
      <c r="F20" s="61">
        <v>30</v>
      </c>
      <c r="G20" s="61">
        <v>30</v>
      </c>
      <c r="H20" s="64">
        <v>50000</v>
      </c>
      <c r="I20" s="64">
        <v>50000</v>
      </c>
    </row>
    <row r="21" spans="3:10" x14ac:dyDescent="0.3">
      <c r="C21" s="2" t="s">
        <v>326</v>
      </c>
      <c r="D21" s="61">
        <v>75</v>
      </c>
      <c r="E21" s="61">
        <v>75</v>
      </c>
      <c r="F21" s="61">
        <v>250</v>
      </c>
      <c r="G21" s="61">
        <v>250</v>
      </c>
      <c r="H21" s="64">
        <v>30000</v>
      </c>
      <c r="I21" s="64">
        <v>30000</v>
      </c>
    </row>
    <row r="22" spans="3:10" x14ac:dyDescent="0.3">
      <c r="C22" s="2" t="s">
        <v>325</v>
      </c>
      <c r="D22" s="61">
        <v>150</v>
      </c>
      <c r="E22" s="61">
        <v>150</v>
      </c>
      <c r="F22" s="61">
        <v>800</v>
      </c>
      <c r="G22" s="61">
        <v>800</v>
      </c>
      <c r="H22" s="64">
        <v>1000</v>
      </c>
      <c r="I22" s="64">
        <v>1000</v>
      </c>
    </row>
    <row r="23" spans="3:10" x14ac:dyDescent="0.3">
      <c r="C23" s="2" t="s">
        <v>324</v>
      </c>
      <c r="D23" s="61">
        <v>1750</v>
      </c>
      <c r="E23" s="61">
        <v>1750</v>
      </c>
      <c r="F23" s="61">
        <v>3500</v>
      </c>
      <c r="G23" s="61">
        <v>3500</v>
      </c>
      <c r="H23" s="64">
        <v>750</v>
      </c>
      <c r="I23" s="64">
        <v>750</v>
      </c>
    </row>
    <row r="25" spans="3:10" ht="15.6" x14ac:dyDescent="0.3">
      <c r="C25" s="63" t="s">
        <v>334</v>
      </c>
      <c r="D25" s="1" t="s">
        <v>333</v>
      </c>
      <c r="E25" s="1" t="s">
        <v>331</v>
      </c>
      <c r="F25" s="1" t="s">
        <v>333</v>
      </c>
      <c r="G25" s="1" t="s">
        <v>331</v>
      </c>
      <c r="H25" s="62" t="s">
        <v>332</v>
      </c>
      <c r="I25" s="62" t="s">
        <v>331</v>
      </c>
      <c r="J25" s="59"/>
    </row>
    <row r="26" spans="3:10" ht="15.6" x14ac:dyDescent="0.3">
      <c r="C26" s="63"/>
      <c r="D26" s="188" t="s">
        <v>330</v>
      </c>
      <c r="E26" s="188"/>
      <c r="F26" s="188" t="s">
        <v>329</v>
      </c>
      <c r="G26" s="188"/>
      <c r="H26" s="192" t="s">
        <v>328</v>
      </c>
      <c r="I26" s="192"/>
      <c r="J26" s="59"/>
    </row>
    <row r="27" spans="3:10" x14ac:dyDescent="0.3">
      <c r="C27" s="2" t="s">
        <v>327</v>
      </c>
      <c r="D27" s="61">
        <v>15</v>
      </c>
      <c r="E27" s="61">
        <v>30</v>
      </c>
      <c r="F27" s="61">
        <v>20</v>
      </c>
      <c r="G27" s="61">
        <v>40</v>
      </c>
      <c r="H27" s="60">
        <f>H20+(I20-I27)</f>
        <v>70000</v>
      </c>
      <c r="I27" s="60">
        <f>I20*(1-D11)</f>
        <v>30000</v>
      </c>
      <c r="J27" s="59"/>
    </row>
    <row r="28" spans="3:10" x14ac:dyDescent="0.3">
      <c r="C28" s="2" t="s">
        <v>326</v>
      </c>
      <c r="D28" s="61">
        <v>50</v>
      </c>
      <c r="E28" s="61">
        <v>100</v>
      </c>
      <c r="F28" s="61">
        <v>150</v>
      </c>
      <c r="G28" s="61">
        <v>300</v>
      </c>
      <c r="H28" s="60">
        <f>H21+(I21-I28)</f>
        <v>42000</v>
      </c>
      <c r="I28" s="60">
        <f>I21*(1-D12)</f>
        <v>18000</v>
      </c>
      <c r="J28" s="59"/>
    </row>
    <row r="29" spans="3:10" x14ac:dyDescent="0.3">
      <c r="C29" s="2" t="s">
        <v>325</v>
      </c>
      <c r="D29" s="61">
        <v>200</v>
      </c>
      <c r="E29" s="61">
        <v>300</v>
      </c>
      <c r="F29" s="61">
        <v>750</v>
      </c>
      <c r="G29" s="61">
        <v>800</v>
      </c>
      <c r="H29" s="60">
        <f>H22+(I22-I29)</f>
        <v>1250</v>
      </c>
      <c r="I29" s="60">
        <f>I22*(1-D13)</f>
        <v>750</v>
      </c>
      <c r="J29" s="59"/>
    </row>
    <row r="30" spans="3:10" x14ac:dyDescent="0.3">
      <c r="C30" s="2" t="s">
        <v>324</v>
      </c>
      <c r="D30" s="61">
        <v>1500</v>
      </c>
      <c r="E30" s="61">
        <v>2000</v>
      </c>
      <c r="F30" s="61">
        <v>2000</v>
      </c>
      <c r="G30" s="61">
        <v>3000</v>
      </c>
      <c r="H30" s="60">
        <f>H23+(I23-I30)</f>
        <v>862.5</v>
      </c>
      <c r="I30" s="60">
        <f>I23*(1-D14)</f>
        <v>637.5</v>
      </c>
      <c r="J30" s="59"/>
    </row>
    <row r="31" spans="3:10" x14ac:dyDescent="0.3">
      <c r="D31" s="58"/>
      <c r="E31" s="58"/>
      <c r="F31" s="58"/>
      <c r="G31" s="58"/>
    </row>
    <row r="32" spans="3:10" ht="15" thickBot="1" x14ac:dyDescent="0.35">
      <c r="E32" s="58"/>
      <c r="F32" s="58"/>
      <c r="G32" s="58"/>
    </row>
    <row r="33" spans="3:7" ht="15" thickBot="1" x14ac:dyDescent="0.35">
      <c r="C33" s="182" t="s">
        <v>9</v>
      </c>
      <c r="D33" s="183"/>
      <c r="E33" s="183"/>
      <c r="F33" s="183"/>
      <c r="G33" s="184"/>
    </row>
    <row r="34" spans="3:7" x14ac:dyDescent="0.3">
      <c r="E34" s="58"/>
      <c r="F34" s="58"/>
      <c r="G34" s="58"/>
    </row>
  </sheetData>
  <mergeCells count="9">
    <mergeCell ref="D26:E26"/>
    <mergeCell ref="F26:G26"/>
    <mergeCell ref="H26:I26"/>
    <mergeCell ref="C33:G33"/>
    <mergeCell ref="C8:F8"/>
    <mergeCell ref="C16:G16"/>
    <mergeCell ref="D19:E19"/>
    <mergeCell ref="F19:G19"/>
    <mergeCell ref="H19:I19"/>
  </mergeCell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E7268-7A3D-4822-9FCF-EAFBD295BD66}">
  <sheetPr>
    <tabColor theme="9" tint="0.59999389629810485"/>
  </sheetPr>
  <dimension ref="A1:J54"/>
  <sheetViews>
    <sheetView workbookViewId="0">
      <selection activeCell="A3" sqref="A3"/>
    </sheetView>
  </sheetViews>
  <sheetFormatPr defaultRowHeight="14.4" x14ac:dyDescent="0.3"/>
  <cols>
    <col min="3" max="3" width="28.6640625" customWidth="1"/>
    <col min="4" max="9" width="20.109375" customWidth="1"/>
    <col min="10" max="10" width="13" customWidth="1"/>
  </cols>
  <sheetData>
    <row r="1" spans="1:8" ht="15" thickBot="1" x14ac:dyDescent="0.35">
      <c r="A1" t="s">
        <v>338</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7" spans="1:8" ht="15" thickBot="1" x14ac:dyDescent="0.35"/>
    <row r="8" spans="1:8" ht="15" thickBot="1" x14ac:dyDescent="0.35">
      <c r="C8" s="182" t="s">
        <v>16</v>
      </c>
      <c r="D8" s="183"/>
      <c r="E8" s="183"/>
      <c r="F8" s="184"/>
    </row>
    <row r="10" spans="1:8" x14ac:dyDescent="0.3">
      <c r="C10" s="66"/>
      <c r="D10" s="2" t="s">
        <v>337</v>
      </c>
    </row>
    <row r="11" spans="1:8" x14ac:dyDescent="0.3">
      <c r="C11" s="2" t="s">
        <v>327</v>
      </c>
      <c r="D11" s="65">
        <v>0.4</v>
      </c>
    </row>
    <row r="12" spans="1:8" x14ac:dyDescent="0.3">
      <c r="C12" s="2" t="s">
        <v>326</v>
      </c>
      <c r="D12" s="65">
        <v>0.4</v>
      </c>
    </row>
    <row r="13" spans="1:8" x14ac:dyDescent="0.3">
      <c r="C13" s="2" t="s">
        <v>325</v>
      </c>
      <c r="D13" s="65">
        <v>0.25</v>
      </c>
    </row>
    <row r="14" spans="1:8" x14ac:dyDescent="0.3">
      <c r="C14" s="2" t="s">
        <v>324</v>
      </c>
      <c r="D14" s="65">
        <v>0.15</v>
      </c>
    </row>
    <row r="15" spans="1:8" ht="15" thickBot="1" x14ac:dyDescent="0.35"/>
    <row r="16" spans="1:8" ht="15" thickBot="1" x14ac:dyDescent="0.35">
      <c r="C16" s="182" t="s">
        <v>10</v>
      </c>
      <c r="D16" s="183"/>
      <c r="E16" s="183"/>
      <c r="F16" s="183"/>
      <c r="G16" s="184"/>
    </row>
    <row r="18" spans="3:10" ht="15.6" x14ac:dyDescent="0.3">
      <c r="C18" s="63" t="s">
        <v>336</v>
      </c>
      <c r="D18" s="1" t="s">
        <v>333</v>
      </c>
      <c r="E18" s="1" t="s">
        <v>331</v>
      </c>
      <c r="F18" s="1" t="s">
        <v>333</v>
      </c>
      <c r="G18" s="1" t="s">
        <v>331</v>
      </c>
      <c r="H18" s="1" t="s">
        <v>333</v>
      </c>
      <c r="I18" s="1" t="s">
        <v>331</v>
      </c>
    </row>
    <row r="19" spans="3:10" ht="15.6" x14ac:dyDescent="0.3">
      <c r="C19" s="63"/>
      <c r="D19" s="188" t="s">
        <v>330</v>
      </c>
      <c r="E19" s="188"/>
      <c r="F19" s="188" t="s">
        <v>329</v>
      </c>
      <c r="G19" s="188"/>
      <c r="H19" s="188" t="s">
        <v>335</v>
      </c>
      <c r="I19" s="188"/>
    </row>
    <row r="20" spans="3:10" x14ac:dyDescent="0.3">
      <c r="C20" s="2" t="s">
        <v>327</v>
      </c>
      <c r="D20" s="61">
        <v>20</v>
      </c>
      <c r="E20" s="61">
        <v>20</v>
      </c>
      <c r="F20" s="61">
        <v>30</v>
      </c>
      <c r="G20" s="61">
        <v>30</v>
      </c>
      <c r="H20" s="64">
        <v>50000</v>
      </c>
      <c r="I20" s="64">
        <v>50000</v>
      </c>
    </row>
    <row r="21" spans="3:10" x14ac:dyDescent="0.3">
      <c r="C21" s="2" t="s">
        <v>326</v>
      </c>
      <c r="D21" s="61">
        <v>75</v>
      </c>
      <c r="E21" s="61">
        <v>75</v>
      </c>
      <c r="F21" s="61">
        <v>250</v>
      </c>
      <c r="G21" s="61">
        <v>250</v>
      </c>
      <c r="H21" s="64">
        <v>30000</v>
      </c>
      <c r="I21" s="64">
        <v>30000</v>
      </c>
    </row>
    <row r="22" spans="3:10" x14ac:dyDescent="0.3">
      <c r="C22" s="2" t="s">
        <v>325</v>
      </c>
      <c r="D22" s="61">
        <v>150</v>
      </c>
      <c r="E22" s="61">
        <v>150</v>
      </c>
      <c r="F22" s="61">
        <v>800</v>
      </c>
      <c r="G22" s="61">
        <v>800</v>
      </c>
      <c r="H22" s="64">
        <v>1000</v>
      </c>
      <c r="I22" s="64">
        <v>1000</v>
      </c>
    </row>
    <row r="23" spans="3:10" x14ac:dyDescent="0.3">
      <c r="C23" s="2" t="s">
        <v>324</v>
      </c>
      <c r="D23" s="61">
        <v>1750</v>
      </c>
      <c r="E23" s="61">
        <v>1750</v>
      </c>
      <c r="F23" s="61">
        <v>3500</v>
      </c>
      <c r="G23" s="61">
        <v>3500</v>
      </c>
      <c r="H23" s="64">
        <v>750</v>
      </c>
      <c r="I23" s="64">
        <v>750</v>
      </c>
    </row>
    <row r="25" spans="3:10" ht="15.6" x14ac:dyDescent="0.3">
      <c r="C25" s="63" t="s">
        <v>334</v>
      </c>
      <c r="D25" s="1" t="s">
        <v>333</v>
      </c>
      <c r="E25" s="1" t="s">
        <v>331</v>
      </c>
      <c r="F25" s="1" t="s">
        <v>333</v>
      </c>
      <c r="G25" s="1" t="s">
        <v>331</v>
      </c>
      <c r="H25" s="62" t="s">
        <v>332</v>
      </c>
      <c r="I25" s="62" t="s">
        <v>331</v>
      </c>
      <c r="J25" s="59"/>
    </row>
    <row r="26" spans="3:10" ht="15.6" x14ac:dyDescent="0.3">
      <c r="C26" s="63"/>
      <c r="D26" s="188" t="s">
        <v>330</v>
      </c>
      <c r="E26" s="188"/>
      <c r="F26" s="188" t="s">
        <v>329</v>
      </c>
      <c r="G26" s="188"/>
      <c r="H26" s="192" t="s">
        <v>328</v>
      </c>
      <c r="I26" s="192"/>
      <c r="J26" s="59"/>
    </row>
    <row r="27" spans="3:10" x14ac:dyDescent="0.3">
      <c r="C27" s="2" t="s">
        <v>327</v>
      </c>
      <c r="D27" s="61">
        <v>15</v>
      </c>
      <c r="E27" s="61">
        <v>30</v>
      </c>
      <c r="F27" s="61">
        <v>20</v>
      </c>
      <c r="G27" s="61">
        <v>40</v>
      </c>
      <c r="H27" s="60">
        <f>H20+(I20-I27)</f>
        <v>70000</v>
      </c>
      <c r="I27" s="60">
        <f>I20*(1-D11)</f>
        <v>30000</v>
      </c>
      <c r="J27" s="59"/>
    </row>
    <row r="28" spans="3:10" x14ac:dyDescent="0.3">
      <c r="C28" s="2" t="s">
        <v>326</v>
      </c>
      <c r="D28" s="61">
        <v>50</v>
      </c>
      <c r="E28" s="61">
        <v>100</v>
      </c>
      <c r="F28" s="61">
        <v>150</v>
      </c>
      <c r="G28" s="61">
        <v>300</v>
      </c>
      <c r="H28" s="60">
        <f>H21+(I21-I28)</f>
        <v>42000</v>
      </c>
      <c r="I28" s="60">
        <f>I21*(1-D12)</f>
        <v>18000</v>
      </c>
      <c r="J28" s="59"/>
    </row>
    <row r="29" spans="3:10" x14ac:dyDescent="0.3">
      <c r="C29" s="2" t="s">
        <v>325</v>
      </c>
      <c r="D29" s="61">
        <v>200</v>
      </c>
      <c r="E29" s="61">
        <v>300</v>
      </c>
      <c r="F29" s="61">
        <v>750</v>
      </c>
      <c r="G29" s="61">
        <v>800</v>
      </c>
      <c r="H29" s="60">
        <f>H22+(I22-I29)</f>
        <v>1250</v>
      </c>
      <c r="I29" s="60">
        <f>I22*(1-D13)</f>
        <v>750</v>
      </c>
      <c r="J29" s="59"/>
    </row>
    <row r="30" spans="3:10" x14ac:dyDescent="0.3">
      <c r="C30" s="2" t="s">
        <v>324</v>
      </c>
      <c r="D30" s="61">
        <v>1500</v>
      </c>
      <c r="E30" s="61">
        <v>2000</v>
      </c>
      <c r="F30" s="61">
        <v>2000</v>
      </c>
      <c r="G30" s="61">
        <v>3000</v>
      </c>
      <c r="H30" s="60">
        <f>H23+(I23-I30)</f>
        <v>862.5</v>
      </c>
      <c r="I30" s="60">
        <f>I23*(1-D14)</f>
        <v>637.5</v>
      </c>
      <c r="J30" s="59"/>
    </row>
    <row r="31" spans="3:10" x14ac:dyDescent="0.3">
      <c r="D31" s="58"/>
      <c r="E31" s="58"/>
      <c r="F31" s="58"/>
      <c r="G31" s="58"/>
    </row>
    <row r="32" spans="3:10" ht="15" thickBot="1" x14ac:dyDescent="0.35">
      <c r="E32" s="58"/>
      <c r="F32" s="58"/>
      <c r="G32" s="58"/>
    </row>
    <row r="33" spans="3:10" ht="15" thickBot="1" x14ac:dyDescent="0.35">
      <c r="C33" s="182" t="s">
        <v>9</v>
      </c>
      <c r="D33" s="183"/>
      <c r="E33" s="183"/>
      <c r="F33" s="183"/>
      <c r="G33" s="184"/>
    </row>
    <row r="34" spans="3:10" x14ac:dyDescent="0.3">
      <c r="E34" s="58"/>
      <c r="F34" s="58"/>
      <c r="G34" s="58"/>
    </row>
    <row r="35" spans="3:10" x14ac:dyDescent="0.3">
      <c r="C35" s="108" t="s">
        <v>541</v>
      </c>
      <c r="E35" s="107"/>
      <c r="F35" s="107"/>
      <c r="G35" s="107"/>
      <c r="H35" s="107"/>
      <c r="I35" s="107"/>
      <c r="J35" s="107"/>
    </row>
    <row r="36" spans="3:10" x14ac:dyDescent="0.3">
      <c r="C36" s="59" t="s">
        <v>540</v>
      </c>
      <c r="D36" s="59" t="s">
        <v>539</v>
      </c>
      <c r="E36" s="107"/>
      <c r="F36" s="107"/>
      <c r="G36" s="107"/>
      <c r="J36" s="107"/>
    </row>
    <row r="37" spans="3:10" x14ac:dyDescent="0.3">
      <c r="C37" s="59" t="s">
        <v>538</v>
      </c>
      <c r="D37" s="59" t="s">
        <v>537</v>
      </c>
      <c r="E37" s="107"/>
      <c r="F37" s="107"/>
      <c r="G37" s="107"/>
      <c r="H37" s="107"/>
      <c r="I37" s="107"/>
      <c r="J37" s="107"/>
    </row>
    <row r="38" spans="3:10" x14ac:dyDescent="0.3">
      <c r="C38" s="59" t="s">
        <v>536</v>
      </c>
      <c r="D38" s="59" t="s">
        <v>535</v>
      </c>
      <c r="E38" s="107"/>
      <c r="F38" s="107"/>
      <c r="G38" s="107"/>
      <c r="H38" s="107"/>
      <c r="I38" s="107"/>
      <c r="J38" s="107"/>
    </row>
    <row r="39" spans="3:10" x14ac:dyDescent="0.3">
      <c r="C39" s="59" t="s">
        <v>534</v>
      </c>
      <c r="D39" s="59" t="s">
        <v>533</v>
      </c>
      <c r="E39" s="107"/>
      <c r="F39" s="107"/>
      <c r="G39" s="107"/>
      <c r="H39" s="107"/>
      <c r="I39" s="107"/>
      <c r="J39" s="107"/>
    </row>
    <row r="40" spans="3:10" x14ac:dyDescent="0.3">
      <c r="C40" s="59" t="s">
        <v>532</v>
      </c>
      <c r="D40" s="59" t="s">
        <v>531</v>
      </c>
      <c r="E40" s="107"/>
      <c r="F40" s="107"/>
      <c r="G40" s="107"/>
      <c r="H40" s="107"/>
      <c r="I40" s="107"/>
      <c r="J40" s="107"/>
    </row>
    <row r="41" spans="3:10" x14ac:dyDescent="0.3">
      <c r="C41" s="107"/>
      <c r="D41" s="107"/>
      <c r="E41" s="107"/>
    </row>
    <row r="43" spans="3:10" x14ac:dyDescent="0.3">
      <c r="C43" s="59"/>
      <c r="D43" s="106" t="s">
        <v>194</v>
      </c>
      <c r="E43" s="106" t="s">
        <v>530</v>
      </c>
      <c r="F43" s="106" t="s">
        <v>529</v>
      </c>
      <c r="G43" s="106" t="s">
        <v>195</v>
      </c>
      <c r="H43" s="106" t="s">
        <v>192</v>
      </c>
      <c r="I43" s="106" t="s">
        <v>403</v>
      </c>
      <c r="J43" s="106" t="s">
        <v>527</v>
      </c>
    </row>
    <row r="44" spans="3:10" x14ac:dyDescent="0.3">
      <c r="C44" s="59" t="s">
        <v>327</v>
      </c>
      <c r="D44" s="104">
        <f>(I20*(G27-D27))/((H20*(F27-D27))+(I20*(G27-D27)))</f>
        <v>0.83333333333333337</v>
      </c>
      <c r="E44" s="104">
        <f>1-D27/G27</f>
        <v>0.625</v>
      </c>
      <c r="F44" s="104">
        <f>1-E27/G27</f>
        <v>0.25</v>
      </c>
      <c r="G44" s="104">
        <f>(E44-F44)/E44</f>
        <v>0.6</v>
      </c>
      <c r="H44" s="104">
        <f>1-((F27-D27)/(G27-D27))</f>
        <v>0.8</v>
      </c>
      <c r="I44" s="105">
        <f>D11</f>
        <v>0.4</v>
      </c>
      <c r="J44" s="104">
        <f>D44*(G44+I44*(H44-G44))</f>
        <v>0.56666666666666676</v>
      </c>
    </row>
    <row r="45" spans="3:10" x14ac:dyDescent="0.3">
      <c r="C45" s="59" t="s">
        <v>326</v>
      </c>
      <c r="D45" s="104">
        <f>(I21*(G28-D28))/((H21*(F28-D28))+(I21*(G28-D28)))</f>
        <v>0.7142857142857143</v>
      </c>
      <c r="E45" s="104">
        <f>1-D28/G28</f>
        <v>0.83333333333333337</v>
      </c>
      <c r="F45" s="104">
        <f>1-E28/G28</f>
        <v>0.66666666666666674</v>
      </c>
      <c r="G45" s="104">
        <f>(E45-F45)/E45</f>
        <v>0.19999999999999996</v>
      </c>
      <c r="H45" s="104">
        <f>1-((F28-D28)/(G28-D28))</f>
        <v>0.6</v>
      </c>
      <c r="I45" s="105">
        <f>D12</f>
        <v>0.4</v>
      </c>
      <c r="J45" s="104">
        <f>D45*(G45+I45*(H45-G45))</f>
        <v>0.25714285714285712</v>
      </c>
    </row>
    <row r="46" spans="3:10" x14ac:dyDescent="0.3">
      <c r="C46" s="59" t="s">
        <v>325</v>
      </c>
      <c r="D46" s="104">
        <f>(I22*(G29-D29))/((H22*(F29-D29))+(I22*(G29-D29)))</f>
        <v>0.52173913043478259</v>
      </c>
      <c r="E46" s="104">
        <f>1-D29/G29</f>
        <v>0.75</v>
      </c>
      <c r="F46" s="104">
        <f>1-E29/G29</f>
        <v>0.625</v>
      </c>
      <c r="G46" s="104">
        <f>(E46-F46)/E46</f>
        <v>0.16666666666666666</v>
      </c>
      <c r="H46" s="104">
        <f>1-((F29-D29)/(G29-D29))</f>
        <v>8.333333333333337E-2</v>
      </c>
      <c r="I46" s="105">
        <f>D13</f>
        <v>0.25</v>
      </c>
      <c r="J46" s="104">
        <f>D46*(G46+I46*(H46-G46))</f>
        <v>7.6086956521739135E-2</v>
      </c>
    </row>
    <row r="47" spans="3:10" x14ac:dyDescent="0.3">
      <c r="C47" s="59" t="s">
        <v>324</v>
      </c>
      <c r="D47" s="104">
        <f>(I23*(G30-D30))/((H23*(F30-D30))+(I23*(G30-D30)))</f>
        <v>0.75</v>
      </c>
      <c r="E47" s="104">
        <f>1-D30/G30</f>
        <v>0.5</v>
      </c>
      <c r="F47" s="104">
        <f>1-E30/G30</f>
        <v>0.33333333333333337</v>
      </c>
      <c r="G47" s="104">
        <f>(E47-F47)/E47</f>
        <v>0.33333333333333326</v>
      </c>
      <c r="H47" s="104">
        <f>1-((F30-D30)/(G30-D30))</f>
        <v>0.66666666666666674</v>
      </c>
      <c r="I47" s="105">
        <f>D14</f>
        <v>0.15</v>
      </c>
      <c r="J47" s="104">
        <f>D47*(G47+I47*(H47-G47))</f>
        <v>0.28749999999999998</v>
      </c>
    </row>
    <row r="48" spans="3:10" x14ac:dyDescent="0.3">
      <c r="D48" s="32"/>
      <c r="G48" s="32"/>
      <c r="H48" s="32"/>
      <c r="I48" s="32"/>
      <c r="J48" s="32"/>
    </row>
    <row r="50" spans="3:5" x14ac:dyDescent="0.3">
      <c r="C50" s="103" t="s">
        <v>528</v>
      </c>
      <c r="D50" s="102" t="s">
        <v>527</v>
      </c>
      <c r="E50" s="102" t="s">
        <v>526</v>
      </c>
    </row>
    <row r="51" spans="3:5" x14ac:dyDescent="0.3">
      <c r="C51" s="59" t="s">
        <v>327</v>
      </c>
      <c r="D51" s="101">
        <f>J44</f>
        <v>0.56666666666666676</v>
      </c>
      <c r="E51" s="100" t="s">
        <v>525</v>
      </c>
    </row>
    <row r="52" spans="3:5" x14ac:dyDescent="0.3">
      <c r="C52" s="59" t="s">
        <v>326</v>
      </c>
      <c r="D52" s="101">
        <f>J45</f>
        <v>0.25714285714285712</v>
      </c>
      <c r="E52" s="100" t="s">
        <v>525</v>
      </c>
    </row>
    <row r="53" spans="3:5" x14ac:dyDescent="0.3">
      <c r="C53" s="59" t="s">
        <v>325</v>
      </c>
      <c r="D53" s="101">
        <f>J46</f>
        <v>7.6086956521739135E-2</v>
      </c>
      <c r="E53" s="100" t="s">
        <v>525</v>
      </c>
    </row>
    <row r="54" spans="3:5" x14ac:dyDescent="0.3">
      <c r="C54" s="59" t="s">
        <v>324</v>
      </c>
      <c r="D54" s="101">
        <f>J47</f>
        <v>0.28749999999999998</v>
      </c>
      <c r="E54" s="100" t="s">
        <v>525</v>
      </c>
    </row>
  </sheetData>
  <mergeCells count="9">
    <mergeCell ref="D26:E26"/>
    <mergeCell ref="F26:G26"/>
    <mergeCell ref="H26:I26"/>
    <mergeCell ref="C33:G33"/>
    <mergeCell ref="C8:F8"/>
    <mergeCell ref="C16:G16"/>
    <mergeCell ref="D19:E19"/>
    <mergeCell ref="F19:G19"/>
    <mergeCell ref="H19:I19"/>
  </mergeCell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5360E-6AB4-432F-A3A9-4DE45A2B31CF}">
  <sheetPr>
    <tabColor theme="5" tint="0.39997558519241921"/>
  </sheetPr>
  <dimension ref="A1:H33"/>
  <sheetViews>
    <sheetView workbookViewId="0">
      <selection activeCell="K41" sqref="K41"/>
    </sheetView>
  </sheetViews>
  <sheetFormatPr defaultRowHeight="14.4" x14ac:dyDescent="0.3"/>
  <cols>
    <col min="3" max="3" width="15.88671875" customWidth="1"/>
    <col min="4" max="4" width="9.6640625" bestFit="1" customWidth="1"/>
    <col min="8" max="8" width="11.109375" customWidth="1"/>
  </cols>
  <sheetData>
    <row r="1" spans="1:8" ht="15" thickBot="1" x14ac:dyDescent="0.35">
      <c r="A1" t="s">
        <v>346</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C12" s="67">
        <v>0.6</v>
      </c>
      <c r="D12" t="s">
        <v>345</v>
      </c>
    </row>
    <row r="13" spans="1:8" x14ac:dyDescent="0.3">
      <c r="D13" t="s">
        <v>344</v>
      </c>
    </row>
    <row r="14" spans="1:8" x14ac:dyDescent="0.3">
      <c r="C14" s="27">
        <v>3000000</v>
      </c>
      <c r="D14" t="s">
        <v>343</v>
      </c>
    </row>
    <row r="15" spans="1:8" x14ac:dyDescent="0.3">
      <c r="D15" t="s">
        <v>342</v>
      </c>
    </row>
    <row r="17" spans="1:7" x14ac:dyDescent="0.3">
      <c r="C17" s="27">
        <v>60000</v>
      </c>
      <c r="D17" t="s">
        <v>341</v>
      </c>
    </row>
    <row r="18" spans="1:7" ht="15" thickBot="1" x14ac:dyDescent="0.35"/>
    <row r="19" spans="1:7" ht="15" thickBot="1" x14ac:dyDescent="0.35">
      <c r="C19" s="182" t="s">
        <v>9</v>
      </c>
      <c r="D19" s="183"/>
      <c r="E19" s="183"/>
      <c r="F19" s="183"/>
      <c r="G19" s="184"/>
    </row>
    <row r="20" spans="1:7" s="6" customFormat="1" x14ac:dyDescent="0.3">
      <c r="A20" s="6" t="s">
        <v>340</v>
      </c>
    </row>
    <row r="33" spans="1:1" s="6" customFormat="1" x14ac:dyDescent="0.3">
      <c r="A33" s="6" t="s">
        <v>339</v>
      </c>
    </row>
  </sheetData>
  <mergeCells count="2">
    <mergeCell ref="C10:F10"/>
    <mergeCell ref="C19:G19"/>
  </mergeCell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DDFCF-A891-4235-B2B5-5EBCFFEF1E40}">
  <sheetPr>
    <tabColor theme="9" tint="0.59999389629810485"/>
  </sheetPr>
  <dimension ref="A1:L47"/>
  <sheetViews>
    <sheetView workbookViewId="0">
      <selection activeCell="A3" sqref="A3"/>
    </sheetView>
  </sheetViews>
  <sheetFormatPr defaultRowHeight="14.4" x14ac:dyDescent="0.3"/>
  <cols>
    <col min="3" max="3" width="15.88671875" customWidth="1"/>
    <col min="4" max="4" width="9.6640625" bestFit="1" customWidth="1"/>
    <col min="8" max="8" width="11.109375" customWidth="1"/>
  </cols>
  <sheetData>
    <row r="1" spans="1:8" ht="15" thickBot="1" x14ac:dyDescent="0.35">
      <c r="A1" t="s">
        <v>346</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C12" s="67">
        <v>0.6</v>
      </c>
      <c r="D12" t="s">
        <v>345</v>
      </c>
    </row>
    <row r="13" spans="1:8" x14ac:dyDescent="0.3">
      <c r="D13" t="s">
        <v>344</v>
      </c>
    </row>
    <row r="14" spans="1:8" x14ac:dyDescent="0.3">
      <c r="C14" s="27">
        <v>3000000</v>
      </c>
      <c r="D14" t="s">
        <v>343</v>
      </c>
    </row>
    <row r="15" spans="1:8" x14ac:dyDescent="0.3">
      <c r="D15" t="s">
        <v>342</v>
      </c>
    </row>
    <row r="17" spans="1:12" x14ac:dyDescent="0.3">
      <c r="C17" s="27">
        <v>60000</v>
      </c>
      <c r="D17" t="s">
        <v>341</v>
      </c>
    </row>
    <row r="18" spans="1:12" ht="15" thickBot="1" x14ac:dyDescent="0.35"/>
    <row r="19" spans="1:12" ht="15" thickBot="1" x14ac:dyDescent="0.35">
      <c r="C19" s="182" t="s">
        <v>9</v>
      </c>
      <c r="D19" s="183"/>
      <c r="E19" s="183"/>
      <c r="F19" s="183"/>
      <c r="G19" s="184"/>
    </row>
    <row r="20" spans="1:12" s="6" customFormat="1" x14ac:dyDescent="0.3">
      <c r="A20" s="6" t="s">
        <v>340</v>
      </c>
    </row>
    <row r="21" spans="1:12" x14ac:dyDescent="0.3">
      <c r="E21" s="193" t="s">
        <v>552</v>
      </c>
      <c r="F21" s="194"/>
      <c r="G21" s="195"/>
      <c r="I21" s="193" t="s">
        <v>551</v>
      </c>
      <c r="J21" s="194"/>
      <c r="K21" s="195"/>
      <c r="L21" t="s">
        <v>550</v>
      </c>
    </row>
    <row r="22" spans="1:12" x14ac:dyDescent="0.3">
      <c r="D22" t="s">
        <v>549</v>
      </c>
      <c r="E22" s="117">
        <v>2021</v>
      </c>
      <c r="F22" s="32">
        <v>2022</v>
      </c>
      <c r="G22" s="116">
        <v>2023</v>
      </c>
      <c r="H22" t="s">
        <v>479</v>
      </c>
      <c r="I22" s="117">
        <v>2024</v>
      </c>
      <c r="J22" s="32">
        <v>2025</v>
      </c>
      <c r="K22" s="116">
        <v>2026</v>
      </c>
      <c r="L22" t="s">
        <v>548</v>
      </c>
    </row>
    <row r="23" spans="1:12" x14ac:dyDescent="0.3">
      <c r="C23" t="s">
        <v>547</v>
      </c>
      <c r="E23" s="115">
        <v>0.1</v>
      </c>
      <c r="F23" s="114">
        <v>0.3</v>
      </c>
      <c r="G23" s="113">
        <v>0.6</v>
      </c>
      <c r="I23" s="115">
        <v>0.1</v>
      </c>
      <c r="J23" s="114">
        <v>0.3</v>
      </c>
      <c r="K23" s="113">
        <v>0.6</v>
      </c>
    </row>
    <row r="24" spans="1:12" x14ac:dyDescent="0.3">
      <c r="E24" s="110"/>
      <c r="G24" s="109"/>
      <c r="I24" s="110"/>
      <c r="K24" s="109"/>
    </row>
    <row r="25" spans="1:12" x14ac:dyDescent="0.3">
      <c r="C25" t="s">
        <v>546</v>
      </c>
      <c r="E25" s="110"/>
      <c r="G25" s="109"/>
      <c r="I25" s="110"/>
      <c r="K25" s="109"/>
    </row>
    <row r="26" spans="1:12" x14ac:dyDescent="0.3">
      <c r="C26" t="s">
        <v>544</v>
      </c>
      <c r="D26" s="27">
        <f>C14</f>
        <v>3000000</v>
      </c>
      <c r="E26" s="110"/>
      <c r="F26" s="27">
        <f>$C$17</f>
        <v>60000</v>
      </c>
      <c r="G26" s="109"/>
      <c r="H26" s="27">
        <f>D26+F26*F23</f>
        <v>3018000</v>
      </c>
      <c r="I26" s="110"/>
      <c r="K26" s="109"/>
    </row>
    <row r="27" spans="1:12" x14ac:dyDescent="0.3">
      <c r="C27" t="s">
        <v>543</v>
      </c>
      <c r="D27" s="27">
        <f>D26</f>
        <v>3000000</v>
      </c>
      <c r="E27" s="110"/>
      <c r="G27" s="111">
        <f>F26</f>
        <v>60000</v>
      </c>
      <c r="H27" s="27">
        <f>D27+G27*G23</f>
        <v>3036000</v>
      </c>
      <c r="I27" s="110"/>
      <c r="K27" s="109"/>
    </row>
    <row r="28" spans="1:12" x14ac:dyDescent="0.3">
      <c r="E28" s="110"/>
      <c r="G28" s="109"/>
      <c r="I28" s="110"/>
      <c r="K28" s="109"/>
    </row>
    <row r="29" spans="1:12" x14ac:dyDescent="0.3">
      <c r="C29" t="s">
        <v>545</v>
      </c>
      <c r="E29" s="110"/>
      <c r="G29" s="109"/>
      <c r="I29" s="110"/>
      <c r="K29" s="109"/>
    </row>
    <row r="30" spans="1:12" x14ac:dyDescent="0.3">
      <c r="C30" t="s">
        <v>544</v>
      </c>
      <c r="D30" s="27">
        <f>D26</f>
        <v>3000000</v>
      </c>
      <c r="E30" s="110"/>
      <c r="F30" s="27">
        <f>F26*(1-$C$12)</f>
        <v>24000</v>
      </c>
      <c r="G30" s="109"/>
      <c r="H30" s="27">
        <f>H26</f>
        <v>3018000</v>
      </c>
      <c r="I30" s="112">
        <f>(F26-F30)*F23</f>
        <v>10800</v>
      </c>
      <c r="J30" s="27">
        <f>I30</f>
        <v>10800</v>
      </c>
      <c r="K30" s="111">
        <f>J30</f>
        <v>10800</v>
      </c>
      <c r="L30" s="122">
        <f>SUM(I30:K30,E30:G30)</f>
        <v>56400</v>
      </c>
    </row>
    <row r="31" spans="1:12" x14ac:dyDescent="0.3">
      <c r="C31" t="s">
        <v>543</v>
      </c>
      <c r="D31" s="27">
        <f>D27</f>
        <v>3000000</v>
      </c>
      <c r="E31" s="110"/>
      <c r="G31" s="111">
        <f>G27*(1-$C$12)</f>
        <v>24000</v>
      </c>
      <c r="H31" s="27">
        <f>H27</f>
        <v>3036000</v>
      </c>
      <c r="I31" s="112">
        <f>(G27-G31)*G23</f>
        <v>21600</v>
      </c>
      <c r="J31" s="27">
        <f>I31</f>
        <v>21600</v>
      </c>
      <c r="K31" s="111">
        <f>J31</f>
        <v>21600</v>
      </c>
      <c r="L31" s="122">
        <f>SUM(I31:K31,E31:G31)</f>
        <v>88800</v>
      </c>
    </row>
    <row r="32" spans="1:12" x14ac:dyDescent="0.3">
      <c r="E32" s="110"/>
      <c r="G32" s="109"/>
      <c r="I32" s="110"/>
      <c r="K32" s="109"/>
    </row>
    <row r="33" spans="1:12" s="6" customFormat="1" x14ac:dyDescent="0.3">
      <c r="A33" s="6" t="s">
        <v>339</v>
      </c>
      <c r="E33" s="121"/>
      <c r="G33" s="120"/>
      <c r="I33" s="121"/>
      <c r="K33" s="120"/>
    </row>
    <row r="34" spans="1:12" x14ac:dyDescent="0.3">
      <c r="E34" s="196" t="s">
        <v>552</v>
      </c>
      <c r="F34" s="197"/>
      <c r="G34" s="198"/>
      <c r="I34" s="196" t="s">
        <v>551</v>
      </c>
      <c r="J34" s="197"/>
      <c r="K34" s="198"/>
      <c r="L34" t="s">
        <v>550</v>
      </c>
    </row>
    <row r="35" spans="1:12" x14ac:dyDescent="0.3">
      <c r="D35" t="s">
        <v>549</v>
      </c>
      <c r="E35" s="117">
        <v>2021</v>
      </c>
      <c r="F35" s="32">
        <v>2022</v>
      </c>
      <c r="G35" s="116">
        <v>2023</v>
      </c>
      <c r="H35" t="s">
        <v>479</v>
      </c>
      <c r="I35" s="117">
        <v>2024</v>
      </c>
      <c r="J35" s="32">
        <v>2025</v>
      </c>
      <c r="K35" s="116">
        <v>2026</v>
      </c>
      <c r="L35" t="s">
        <v>548</v>
      </c>
    </row>
    <row r="36" spans="1:12" x14ac:dyDescent="0.3">
      <c r="C36" t="s">
        <v>547</v>
      </c>
      <c r="E36" s="115">
        <f>1/3</f>
        <v>0.33333333333333331</v>
      </c>
      <c r="F36" s="114">
        <f>1/3</f>
        <v>0.33333333333333331</v>
      </c>
      <c r="G36" s="113">
        <f>1/3</f>
        <v>0.33333333333333331</v>
      </c>
      <c r="I36" s="115">
        <f>1/3</f>
        <v>0.33333333333333331</v>
      </c>
      <c r="J36" s="114">
        <f>1/3</f>
        <v>0.33333333333333331</v>
      </c>
      <c r="K36" s="113">
        <f>1/3</f>
        <v>0.33333333333333331</v>
      </c>
    </row>
    <row r="37" spans="1:12" x14ac:dyDescent="0.3">
      <c r="E37" s="110"/>
      <c r="G37" s="109"/>
      <c r="I37" s="110"/>
      <c r="K37" s="109"/>
    </row>
    <row r="38" spans="1:12" x14ac:dyDescent="0.3">
      <c r="C38" t="s">
        <v>546</v>
      </c>
      <c r="E38" s="110"/>
      <c r="G38" s="109"/>
      <c r="I38" s="110"/>
      <c r="K38" s="109"/>
    </row>
    <row r="39" spans="1:12" x14ac:dyDescent="0.3">
      <c r="C39" t="s">
        <v>544</v>
      </c>
      <c r="D39" s="27">
        <f>$C$14</f>
        <v>3000000</v>
      </c>
      <c r="E39" s="110"/>
      <c r="F39" s="27">
        <f>$C$17</f>
        <v>60000</v>
      </c>
      <c r="G39" s="109"/>
      <c r="H39" s="27">
        <f>D39+F39*F36</f>
        <v>3020000</v>
      </c>
      <c r="I39" s="110"/>
      <c r="K39" s="109"/>
    </row>
    <row r="40" spans="1:12" x14ac:dyDescent="0.3">
      <c r="C40" t="s">
        <v>543</v>
      </c>
      <c r="D40" s="27">
        <f>D39</f>
        <v>3000000</v>
      </c>
      <c r="E40" s="110"/>
      <c r="G40" s="111">
        <f>F39</f>
        <v>60000</v>
      </c>
      <c r="H40" s="27">
        <f>D40+G40*G36</f>
        <v>3020000</v>
      </c>
      <c r="I40" s="110"/>
      <c r="K40" s="109"/>
    </row>
    <row r="41" spans="1:12" x14ac:dyDescent="0.3">
      <c r="E41" s="110"/>
      <c r="G41" s="109"/>
      <c r="I41" s="110"/>
      <c r="K41" s="109"/>
    </row>
    <row r="42" spans="1:12" x14ac:dyDescent="0.3">
      <c r="C42" t="s">
        <v>545</v>
      </c>
      <c r="E42" s="110"/>
      <c r="G42" s="109"/>
      <c r="I42" s="110"/>
      <c r="K42" s="109"/>
    </row>
    <row r="43" spans="1:12" x14ac:dyDescent="0.3">
      <c r="C43" t="s">
        <v>544</v>
      </c>
      <c r="D43" s="27">
        <f>D39</f>
        <v>3000000</v>
      </c>
      <c r="E43" s="110"/>
      <c r="F43" s="27">
        <f>F39*(1-$C$12)</f>
        <v>24000</v>
      </c>
      <c r="G43" s="109"/>
      <c r="H43" s="27">
        <f>H39</f>
        <v>3020000</v>
      </c>
      <c r="I43" s="112">
        <f>(F39-F43)*F36</f>
        <v>12000</v>
      </c>
      <c r="J43" s="27">
        <f>I43</f>
        <v>12000</v>
      </c>
      <c r="K43" s="111">
        <f>J43</f>
        <v>12000</v>
      </c>
      <c r="L43" s="27">
        <f>SUM(I43:K43,E43:G43)</f>
        <v>60000</v>
      </c>
    </row>
    <row r="44" spans="1:12" x14ac:dyDescent="0.3">
      <c r="C44" t="s">
        <v>543</v>
      </c>
      <c r="D44" s="27">
        <f>D40</f>
        <v>3000000</v>
      </c>
      <c r="E44" s="110"/>
      <c r="G44" s="111">
        <f>G40*(1-$C$12)</f>
        <v>24000</v>
      </c>
      <c r="H44" s="27">
        <f>H40</f>
        <v>3020000</v>
      </c>
      <c r="I44" s="112">
        <f>(G40-G44)*G36</f>
        <v>12000</v>
      </c>
      <c r="J44" s="27">
        <f>I44</f>
        <v>12000</v>
      </c>
      <c r="K44" s="111">
        <f>J44</f>
        <v>12000</v>
      </c>
      <c r="L44" s="27">
        <f>SUM(I44:K44,E44:G44)</f>
        <v>60000</v>
      </c>
    </row>
    <row r="45" spans="1:12" x14ac:dyDescent="0.3">
      <c r="I45" s="110"/>
      <c r="K45" s="109"/>
    </row>
    <row r="47" spans="1:12" x14ac:dyDescent="0.3">
      <c r="C47" s="19" t="s">
        <v>542</v>
      </c>
      <c r="D47" s="19"/>
      <c r="E47" s="19"/>
      <c r="F47" s="19"/>
      <c r="G47" s="19"/>
      <c r="H47" s="19"/>
      <c r="I47" s="19"/>
    </row>
  </sheetData>
  <mergeCells count="6">
    <mergeCell ref="C10:F10"/>
    <mergeCell ref="C19:G19"/>
    <mergeCell ref="E21:G21"/>
    <mergeCell ref="I21:K21"/>
    <mergeCell ref="E34:G34"/>
    <mergeCell ref="I34:K34"/>
  </mergeCell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84103-656C-47F2-83FD-584144AC6B73}">
  <sheetPr>
    <tabColor theme="5" tint="0.39997558519241921"/>
  </sheetPr>
  <dimension ref="A1:M69"/>
  <sheetViews>
    <sheetView workbookViewId="0">
      <selection activeCell="K41" sqref="K41"/>
    </sheetView>
  </sheetViews>
  <sheetFormatPr defaultColWidth="8.6640625" defaultRowHeight="14.4" x14ac:dyDescent="0.3"/>
  <cols>
    <col min="3" max="3" width="18.88671875" customWidth="1"/>
    <col min="4" max="6" width="12" customWidth="1"/>
    <col min="10" max="10" width="19.33203125" customWidth="1"/>
    <col min="11" max="13" width="13.88671875" customWidth="1"/>
    <col min="14" max="14" width="13.109375" customWidth="1"/>
    <col min="15" max="15" width="14.33203125" bestFit="1" customWidth="1"/>
    <col min="17" max="17" width="11.33203125" bestFit="1" customWidth="1"/>
  </cols>
  <sheetData>
    <row r="1" spans="1:13" ht="15" thickBot="1" x14ac:dyDescent="0.35">
      <c r="A1" t="s">
        <v>41</v>
      </c>
      <c r="G1" s="25" t="s">
        <v>40</v>
      </c>
      <c r="H1" s="24"/>
    </row>
    <row r="2" spans="1:13" x14ac:dyDescent="0.3">
      <c r="G2" s="23" t="s">
        <v>39</v>
      </c>
      <c r="H2" s="23"/>
    </row>
    <row r="3" spans="1:13" ht="15" thickBot="1" x14ac:dyDescent="0.35">
      <c r="G3" s="22" t="s">
        <v>38</v>
      </c>
      <c r="H3" s="22"/>
    </row>
    <row r="4" spans="1:13" ht="15.6" thickTop="1" thickBot="1" x14ac:dyDescent="0.35">
      <c r="G4" s="21" t="s">
        <v>37</v>
      </c>
      <c r="H4" s="21"/>
    </row>
    <row r="5" spans="1:13" ht="15" thickTop="1" x14ac:dyDescent="0.3">
      <c r="G5" s="20" t="s">
        <v>36</v>
      </c>
      <c r="H5" s="19"/>
    </row>
    <row r="9" spans="1:13" ht="15" thickBot="1" x14ac:dyDescent="0.35"/>
    <row r="10" spans="1:13" ht="15" thickBot="1" x14ac:dyDescent="0.35">
      <c r="C10" s="182" t="s">
        <v>16</v>
      </c>
      <c r="D10" s="183"/>
      <c r="E10" s="183"/>
      <c r="F10" s="184"/>
    </row>
    <row r="12" spans="1:13" x14ac:dyDescent="0.3">
      <c r="D12" t="s">
        <v>32</v>
      </c>
      <c r="E12" t="s">
        <v>31</v>
      </c>
      <c r="F12" t="s">
        <v>30</v>
      </c>
    </row>
    <row r="13" spans="1:13" x14ac:dyDescent="0.3">
      <c r="C13" s="18" t="s">
        <v>35</v>
      </c>
      <c r="D13" s="3">
        <v>0.1</v>
      </c>
      <c r="E13" s="3">
        <v>0.3</v>
      </c>
      <c r="F13" s="3">
        <v>0.6</v>
      </c>
    </row>
    <row r="14" spans="1:13" ht="15" thickBot="1" x14ac:dyDescent="0.35"/>
    <row r="15" spans="1:13" ht="15" thickBot="1" x14ac:dyDescent="0.35">
      <c r="C15" s="182" t="s">
        <v>10</v>
      </c>
      <c r="D15" s="183"/>
      <c r="E15" s="183"/>
      <c r="F15" s="183"/>
      <c r="G15" s="184"/>
      <c r="I15" s="182" t="s">
        <v>9</v>
      </c>
      <c r="J15" s="183"/>
      <c r="K15" s="183"/>
      <c r="L15" s="183"/>
      <c r="M15" s="184"/>
    </row>
    <row r="16" spans="1:13" s="6" customFormat="1" x14ac:dyDescent="0.3">
      <c r="A16" s="6" t="s">
        <v>34</v>
      </c>
    </row>
    <row r="17" spans="3:6" s="15" customFormat="1" ht="31.2" x14ac:dyDescent="0.3">
      <c r="C17" s="17" t="s">
        <v>33</v>
      </c>
      <c r="D17" s="16" t="s">
        <v>32</v>
      </c>
      <c r="E17" s="16" t="s">
        <v>31</v>
      </c>
      <c r="F17" s="16" t="s">
        <v>30</v>
      </c>
    </row>
    <row r="18" spans="3:6" ht="15.6" x14ac:dyDescent="0.3">
      <c r="C18" s="199" t="s">
        <v>29</v>
      </c>
      <c r="D18" s="199"/>
      <c r="E18" s="199"/>
      <c r="F18" s="199"/>
    </row>
    <row r="19" spans="3:6" ht="15.6" x14ac:dyDescent="0.3">
      <c r="C19" s="10" t="s">
        <v>21</v>
      </c>
      <c r="D19" s="4">
        <v>140000</v>
      </c>
      <c r="E19" s="4">
        <v>145000</v>
      </c>
      <c r="F19" s="4">
        <v>150000</v>
      </c>
    </row>
    <row r="20" spans="3:6" ht="15.6" x14ac:dyDescent="0.3">
      <c r="C20" s="10" t="s">
        <v>20</v>
      </c>
      <c r="D20" s="4">
        <v>19000</v>
      </c>
      <c r="E20" s="4">
        <v>21000</v>
      </c>
      <c r="F20" s="4">
        <v>18500</v>
      </c>
    </row>
    <row r="21" spans="3:6" ht="15.6" x14ac:dyDescent="0.3">
      <c r="C21" s="10" t="s">
        <v>19</v>
      </c>
      <c r="D21" s="4">
        <v>24000</v>
      </c>
      <c r="E21" s="4">
        <v>23000</v>
      </c>
      <c r="F21" s="4">
        <v>25000</v>
      </c>
    </row>
    <row r="22" spans="3:6" ht="15.6" x14ac:dyDescent="0.3">
      <c r="C22" s="10" t="s">
        <v>18</v>
      </c>
      <c r="D22" s="4">
        <v>17000</v>
      </c>
      <c r="E22" s="4">
        <v>17500</v>
      </c>
      <c r="F22" s="4">
        <v>15000</v>
      </c>
    </row>
    <row r="23" spans="3:6" ht="15.6" x14ac:dyDescent="0.3">
      <c r="C23" s="199" t="s">
        <v>28</v>
      </c>
      <c r="D23" s="199"/>
      <c r="E23" s="199"/>
      <c r="F23" s="199"/>
    </row>
    <row r="24" spans="3:6" ht="15.6" x14ac:dyDescent="0.3">
      <c r="C24" s="10" t="s">
        <v>21</v>
      </c>
      <c r="D24" s="12">
        <v>1.1499999999999999</v>
      </c>
      <c r="E24" s="12">
        <v>1.1000000000000001</v>
      </c>
      <c r="F24" s="12">
        <v>1.25</v>
      </c>
    </row>
    <row r="25" spans="3:6" ht="15.6" x14ac:dyDescent="0.3">
      <c r="C25" s="10" t="s">
        <v>20</v>
      </c>
      <c r="D25" s="12">
        <v>1.35</v>
      </c>
      <c r="E25" s="12">
        <v>1.3</v>
      </c>
      <c r="F25" s="12">
        <v>1.4</v>
      </c>
    </row>
    <row r="26" spans="3:6" ht="15.6" x14ac:dyDescent="0.3">
      <c r="C26" s="10" t="s">
        <v>19</v>
      </c>
      <c r="D26" s="12">
        <v>1.2</v>
      </c>
      <c r="E26" s="12">
        <v>1.05</v>
      </c>
      <c r="F26" s="12">
        <v>1.1499999999999999</v>
      </c>
    </row>
    <row r="27" spans="3:6" ht="15.6" x14ac:dyDescent="0.3">
      <c r="C27" s="10" t="s">
        <v>18</v>
      </c>
      <c r="D27" s="12">
        <v>1.25</v>
      </c>
      <c r="E27" s="12">
        <v>1.3</v>
      </c>
      <c r="F27" s="12">
        <v>1.35</v>
      </c>
    </row>
    <row r="28" spans="3:6" ht="15.6" x14ac:dyDescent="0.3">
      <c r="C28" s="199"/>
      <c r="D28" s="199"/>
      <c r="E28" s="199"/>
      <c r="F28" s="199"/>
    </row>
    <row r="29" spans="3:6" ht="15.6" x14ac:dyDescent="0.3">
      <c r="C29" s="14" t="s">
        <v>27</v>
      </c>
      <c r="D29" s="13"/>
      <c r="E29" s="13"/>
      <c r="F29" s="13"/>
    </row>
    <row r="30" spans="3:6" ht="15.6" x14ac:dyDescent="0.3">
      <c r="C30" s="10" t="s">
        <v>21</v>
      </c>
      <c r="D30" s="12">
        <v>1</v>
      </c>
      <c r="E30" s="12">
        <v>1</v>
      </c>
      <c r="F30" s="11">
        <v>1</v>
      </c>
    </row>
    <row r="31" spans="3:6" ht="15.6" x14ac:dyDescent="0.3">
      <c r="C31" s="10" t="s">
        <v>20</v>
      </c>
      <c r="D31" s="12">
        <v>1.05</v>
      </c>
      <c r="E31" s="12">
        <v>1.03</v>
      </c>
      <c r="F31" s="11">
        <v>1</v>
      </c>
    </row>
    <row r="32" spans="3:6" ht="15.6" x14ac:dyDescent="0.3">
      <c r="C32" s="10" t="s">
        <v>19</v>
      </c>
      <c r="D32" s="12">
        <v>0.98</v>
      </c>
      <c r="E32" s="12">
        <v>0.99</v>
      </c>
      <c r="F32" s="11">
        <v>1</v>
      </c>
    </row>
    <row r="33" spans="3:6" ht="15.6" x14ac:dyDescent="0.3">
      <c r="C33" s="10" t="s">
        <v>18</v>
      </c>
      <c r="D33" s="12">
        <v>1.02</v>
      </c>
      <c r="E33" s="12">
        <v>1.01</v>
      </c>
      <c r="F33" s="11">
        <v>1</v>
      </c>
    </row>
    <row r="34" spans="3:6" ht="15.6" x14ac:dyDescent="0.3">
      <c r="C34" s="10"/>
      <c r="D34" s="12"/>
      <c r="E34" s="12"/>
      <c r="F34" s="11"/>
    </row>
    <row r="36" spans="3:6" ht="15.6" x14ac:dyDescent="0.3">
      <c r="C36" s="10" t="s">
        <v>26</v>
      </c>
      <c r="D36" s="10"/>
    </row>
    <row r="37" spans="3:6" ht="15.6" x14ac:dyDescent="0.3">
      <c r="C37" s="10" t="s">
        <v>21</v>
      </c>
      <c r="D37" s="9">
        <v>0.05</v>
      </c>
    </row>
    <row r="38" spans="3:6" ht="15.6" x14ac:dyDescent="0.3">
      <c r="C38" s="10" t="s">
        <v>20</v>
      </c>
      <c r="D38" s="9">
        <v>0.05</v>
      </c>
    </row>
    <row r="39" spans="3:6" ht="15.6" x14ac:dyDescent="0.3">
      <c r="C39" s="10" t="s">
        <v>19</v>
      </c>
      <c r="D39" s="9">
        <v>0.1</v>
      </c>
    </row>
    <row r="40" spans="3:6" ht="15.6" x14ac:dyDescent="0.3">
      <c r="C40" s="10" t="s">
        <v>18</v>
      </c>
      <c r="D40" s="9">
        <v>0.8</v>
      </c>
    </row>
    <row r="43" spans="3:6" x14ac:dyDescent="0.3">
      <c r="C43" t="s">
        <v>25</v>
      </c>
    </row>
    <row r="44" spans="3:6" x14ac:dyDescent="0.3">
      <c r="C44" s="8" t="s">
        <v>24</v>
      </c>
      <c r="D44" t="s">
        <v>23</v>
      </c>
      <c r="E44" s="8" t="s">
        <v>22</v>
      </c>
    </row>
    <row r="45" spans="3:6" x14ac:dyDescent="0.3">
      <c r="C45" t="s">
        <v>21</v>
      </c>
      <c r="D45">
        <v>1.2</v>
      </c>
      <c r="E45" s="7">
        <v>1000</v>
      </c>
    </row>
    <row r="46" spans="3:6" x14ac:dyDescent="0.3">
      <c r="C46" t="s">
        <v>20</v>
      </c>
      <c r="D46">
        <v>1.5</v>
      </c>
      <c r="E46" s="7">
        <v>500</v>
      </c>
    </row>
    <row r="47" spans="3:6" x14ac:dyDescent="0.3">
      <c r="C47" t="s">
        <v>19</v>
      </c>
      <c r="D47">
        <v>1.1000000000000001</v>
      </c>
      <c r="E47" s="7">
        <v>300</v>
      </c>
    </row>
    <row r="48" spans="3:6" x14ac:dyDescent="0.3">
      <c r="C48" t="s">
        <v>18</v>
      </c>
      <c r="D48">
        <v>1.2</v>
      </c>
      <c r="E48" s="7">
        <v>150</v>
      </c>
    </row>
    <row r="50" spans="1:13" s="6" customFormat="1" x14ac:dyDescent="0.3">
      <c r="A50" s="6" t="s">
        <v>17</v>
      </c>
    </row>
    <row r="51" spans="1:13" ht="15" thickBot="1" x14ac:dyDescent="0.35"/>
    <row r="52" spans="1:13" ht="15" thickBot="1" x14ac:dyDescent="0.35">
      <c r="C52" s="182" t="s">
        <v>16</v>
      </c>
      <c r="D52" s="183"/>
      <c r="E52" s="183"/>
      <c r="F52" s="184"/>
    </row>
    <row r="54" spans="1:13" x14ac:dyDescent="0.3">
      <c r="C54" s="5">
        <v>30000</v>
      </c>
      <c r="D54" t="s">
        <v>15</v>
      </c>
    </row>
    <row r="55" spans="1:13" ht="15.6" x14ac:dyDescent="0.3">
      <c r="C55" s="4">
        <v>650000000</v>
      </c>
      <c r="D55" t="s">
        <v>14</v>
      </c>
    </row>
    <row r="56" spans="1:13" x14ac:dyDescent="0.3">
      <c r="C56" s="3">
        <v>0.4</v>
      </c>
      <c r="D56" t="s">
        <v>13</v>
      </c>
    </row>
    <row r="57" spans="1:13" x14ac:dyDescent="0.3">
      <c r="C57" s="3">
        <v>0.55000000000000004</v>
      </c>
      <c r="D57" t="s">
        <v>12</v>
      </c>
    </row>
    <row r="58" spans="1:13" x14ac:dyDescent="0.3">
      <c r="C58" s="3">
        <v>0.1</v>
      </c>
      <c r="D58" t="s">
        <v>11</v>
      </c>
    </row>
    <row r="59" spans="1:13" ht="15" thickBot="1" x14ac:dyDescent="0.35"/>
    <row r="60" spans="1:13" ht="15" thickBot="1" x14ac:dyDescent="0.35">
      <c r="C60" s="182" t="s">
        <v>10</v>
      </c>
      <c r="D60" s="183"/>
      <c r="E60" s="183"/>
      <c r="F60" s="183"/>
      <c r="G60" s="184"/>
      <c r="I60" s="182" t="s">
        <v>9</v>
      </c>
      <c r="J60" s="183"/>
      <c r="K60" s="183"/>
      <c r="L60" s="183"/>
      <c r="M60" s="184"/>
    </row>
    <row r="62" spans="1:13" x14ac:dyDescent="0.3">
      <c r="C62" t="s">
        <v>8</v>
      </c>
    </row>
    <row r="64" spans="1:13" x14ac:dyDescent="0.3">
      <c r="C64" s="2" t="s">
        <v>7</v>
      </c>
      <c r="D64" s="1" t="s">
        <v>6</v>
      </c>
      <c r="E64" s="1" t="s">
        <v>5</v>
      </c>
    </row>
    <row r="65" spans="3:5" x14ac:dyDescent="0.3">
      <c r="C65" s="2" t="s">
        <v>4</v>
      </c>
      <c r="D65" s="1">
        <v>0.03</v>
      </c>
      <c r="E65" s="1">
        <v>2.7E-2</v>
      </c>
    </row>
    <row r="66" spans="3:5" x14ac:dyDescent="0.3">
      <c r="C66" s="2" t="s">
        <v>3</v>
      </c>
      <c r="D66" s="1">
        <v>2.7E-2</v>
      </c>
      <c r="E66" s="1">
        <v>2.5000000000000001E-2</v>
      </c>
    </row>
    <row r="67" spans="3:5" x14ac:dyDescent="0.3">
      <c r="C67" s="2" t="s">
        <v>2</v>
      </c>
      <c r="D67" s="1">
        <v>2.5000000000000001E-2</v>
      </c>
      <c r="E67" s="1">
        <v>2.1999999999999999E-2</v>
      </c>
    </row>
    <row r="68" spans="3:5" x14ac:dyDescent="0.3">
      <c r="C68" s="2" t="s">
        <v>1</v>
      </c>
      <c r="D68" s="1">
        <v>2.1999999999999999E-2</v>
      </c>
      <c r="E68" s="1">
        <v>0.02</v>
      </c>
    </row>
    <row r="69" spans="3:5" x14ac:dyDescent="0.3">
      <c r="C69" s="2" t="s">
        <v>0</v>
      </c>
      <c r="D69" s="1">
        <v>0.02</v>
      </c>
      <c r="E69" s="1">
        <v>0.02</v>
      </c>
    </row>
  </sheetData>
  <mergeCells count="9">
    <mergeCell ref="C52:F52"/>
    <mergeCell ref="C60:G60"/>
    <mergeCell ref="I60:M60"/>
    <mergeCell ref="C10:F10"/>
    <mergeCell ref="C15:G15"/>
    <mergeCell ref="I15:M15"/>
    <mergeCell ref="C18:F18"/>
    <mergeCell ref="C23:F23"/>
    <mergeCell ref="C28:F28"/>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EC4C7-67B2-41B7-A797-2332DB165D73}">
  <sheetPr>
    <tabColor theme="9" tint="0.59999389629810485"/>
  </sheetPr>
  <dimension ref="A1:M52"/>
  <sheetViews>
    <sheetView workbookViewId="0">
      <selection activeCell="A3" sqref="A3"/>
    </sheetView>
  </sheetViews>
  <sheetFormatPr defaultRowHeight="14.4" x14ac:dyDescent="0.3"/>
  <cols>
    <col min="3" max="3" width="22.33203125" customWidth="1"/>
    <col min="9" max="9" width="9.88671875" bestFit="1" customWidth="1"/>
  </cols>
  <sheetData>
    <row r="1" spans="1:13" ht="15" thickBot="1" x14ac:dyDescent="0.35">
      <c r="A1" t="s">
        <v>56</v>
      </c>
      <c r="G1" s="25" t="s">
        <v>40</v>
      </c>
      <c r="H1" s="24"/>
    </row>
    <row r="2" spans="1:13" x14ac:dyDescent="0.3">
      <c r="G2" s="23" t="s">
        <v>39</v>
      </c>
      <c r="H2" s="23"/>
    </row>
    <row r="3" spans="1:13" ht="15" thickBot="1" x14ac:dyDescent="0.35">
      <c r="G3" s="22" t="s">
        <v>38</v>
      </c>
      <c r="H3" s="22"/>
    </row>
    <row r="4" spans="1:13" ht="15.6" thickTop="1" thickBot="1" x14ac:dyDescent="0.35">
      <c r="G4" s="21" t="s">
        <v>37</v>
      </c>
      <c r="H4" s="21"/>
    </row>
    <row r="5" spans="1:13" ht="15" thickTop="1" x14ac:dyDescent="0.3">
      <c r="G5" s="20" t="s">
        <v>36</v>
      </c>
      <c r="H5" s="19"/>
    </row>
    <row r="9" spans="1:13" ht="15" thickBot="1" x14ac:dyDescent="0.35"/>
    <row r="10" spans="1:13" ht="15" thickBot="1" x14ac:dyDescent="0.35">
      <c r="C10" s="182" t="s">
        <v>16</v>
      </c>
      <c r="D10" s="183"/>
      <c r="E10" s="183"/>
      <c r="F10" s="184"/>
    </row>
    <row r="12" spans="1:13" x14ac:dyDescent="0.3">
      <c r="C12" s="27">
        <v>35000</v>
      </c>
      <c r="D12" t="s">
        <v>55</v>
      </c>
    </row>
    <row r="14" spans="1:13" x14ac:dyDescent="0.3">
      <c r="C14">
        <v>0.1</v>
      </c>
      <c r="D14" t="s">
        <v>54</v>
      </c>
    </row>
    <row r="15" spans="1:13" ht="15" thickBot="1" x14ac:dyDescent="0.35"/>
    <row r="16" spans="1:13" ht="15" thickBot="1" x14ac:dyDescent="0.35">
      <c r="C16" s="182" t="s">
        <v>10</v>
      </c>
      <c r="D16" s="183"/>
      <c r="E16" s="183"/>
      <c r="F16" s="183"/>
      <c r="G16" s="184"/>
      <c r="I16" s="182" t="s">
        <v>9</v>
      </c>
      <c r="J16" s="183"/>
      <c r="K16" s="183"/>
      <c r="L16" s="183"/>
      <c r="M16" s="184"/>
    </row>
    <row r="17" spans="1:10" x14ac:dyDescent="0.3">
      <c r="A17" t="s">
        <v>53</v>
      </c>
    </row>
    <row r="18" spans="1:10" x14ac:dyDescent="0.3">
      <c r="C18" t="s">
        <v>52</v>
      </c>
      <c r="D18" t="s">
        <v>51</v>
      </c>
      <c r="E18" t="s">
        <v>50</v>
      </c>
    </row>
    <row r="19" spans="1:10" x14ac:dyDescent="0.3">
      <c r="C19" t="s">
        <v>49</v>
      </c>
      <c r="D19" s="27">
        <v>1500</v>
      </c>
      <c r="E19">
        <v>225</v>
      </c>
      <c r="I19" s="55">
        <f>SUMPRODUCT(D19:D22,E19:E22)/1000</f>
        <v>6387.5</v>
      </c>
      <c r="J19" t="s">
        <v>356</v>
      </c>
    </row>
    <row r="20" spans="1:10" x14ac:dyDescent="0.3">
      <c r="C20" t="s">
        <v>48</v>
      </c>
      <c r="D20" s="27">
        <v>20000</v>
      </c>
      <c r="E20">
        <v>100</v>
      </c>
      <c r="I20" s="72">
        <f>C12</f>
        <v>35000</v>
      </c>
      <c r="J20" t="s">
        <v>358</v>
      </c>
    </row>
    <row r="21" spans="1:10" x14ac:dyDescent="0.3">
      <c r="C21" t="s">
        <v>47</v>
      </c>
      <c r="D21" s="27">
        <v>16000</v>
      </c>
      <c r="E21">
        <v>200</v>
      </c>
      <c r="I21" s="55">
        <f>SUM(I19:I20)</f>
        <v>41387.5</v>
      </c>
    </row>
    <row r="22" spans="1:10" x14ac:dyDescent="0.3">
      <c r="C22" t="s">
        <v>46</v>
      </c>
      <c r="D22" s="27">
        <v>85000</v>
      </c>
      <c r="E22">
        <v>10</v>
      </c>
    </row>
    <row r="23" spans="1:10" x14ac:dyDescent="0.3">
      <c r="I23" s="55">
        <f>I21*C14</f>
        <v>4138.75</v>
      </c>
      <c r="J23" t="s">
        <v>355</v>
      </c>
    </row>
    <row r="25" spans="1:10" x14ac:dyDescent="0.3">
      <c r="I25" s="19">
        <f>I21-I23</f>
        <v>37248.75</v>
      </c>
      <c r="J25" t="s">
        <v>357</v>
      </c>
    </row>
    <row r="28" spans="1:10" x14ac:dyDescent="0.3">
      <c r="A28" t="s">
        <v>34</v>
      </c>
    </row>
    <row r="29" spans="1:10" x14ac:dyDescent="0.3">
      <c r="I29" s="55">
        <f>I19</f>
        <v>6387.5</v>
      </c>
      <c r="J29" t="s">
        <v>356</v>
      </c>
    </row>
    <row r="30" spans="1:10" x14ac:dyDescent="0.3">
      <c r="I30" s="71">
        <f>I23</f>
        <v>4138.75</v>
      </c>
      <c r="J30" t="s">
        <v>355</v>
      </c>
    </row>
    <row r="31" spans="1:10" x14ac:dyDescent="0.3">
      <c r="I31" s="55">
        <f>I29-I30</f>
        <v>2248.75</v>
      </c>
      <c r="J31" t="s">
        <v>354</v>
      </c>
    </row>
    <row r="34" spans="1:13" x14ac:dyDescent="0.3">
      <c r="I34" s="70">
        <f>(I31-I29)/I29</f>
        <v>-0.647945205479452</v>
      </c>
      <c r="J34" t="s">
        <v>353</v>
      </c>
    </row>
    <row r="36" spans="1:13" ht="15" thickBot="1" x14ac:dyDescent="0.35"/>
    <row r="37" spans="1:13" ht="15" thickBot="1" x14ac:dyDescent="0.35">
      <c r="C37" s="182" t="s">
        <v>10</v>
      </c>
      <c r="D37" s="183"/>
      <c r="E37" s="183"/>
      <c r="F37" s="183"/>
      <c r="G37" s="184"/>
      <c r="I37" s="182" t="s">
        <v>9</v>
      </c>
      <c r="J37" s="183"/>
      <c r="K37" s="183"/>
      <c r="L37" s="183"/>
      <c r="M37" s="184"/>
    </row>
    <row r="38" spans="1:13" x14ac:dyDescent="0.3">
      <c r="A38" t="s">
        <v>17</v>
      </c>
    </row>
    <row r="39" spans="1:13" x14ac:dyDescent="0.3">
      <c r="C39">
        <v>0.5</v>
      </c>
      <c r="D39" t="s">
        <v>45</v>
      </c>
      <c r="I39" t="s">
        <v>44</v>
      </c>
      <c r="J39" t="s">
        <v>43</v>
      </c>
      <c r="K39" t="s">
        <v>42</v>
      </c>
      <c r="M39" t="s">
        <v>352</v>
      </c>
    </row>
    <row r="40" spans="1:13" x14ac:dyDescent="0.3">
      <c r="I40">
        <f t="shared" ref="I40:K42" si="0">C43</f>
        <v>2018</v>
      </c>
      <c r="J40" s="26">
        <f t="shared" si="0"/>
        <v>0.05</v>
      </c>
      <c r="K40" s="7">
        <f t="shared" si="0"/>
        <v>1000</v>
      </c>
      <c r="M40" s="7">
        <f>K40</f>
        <v>1000</v>
      </c>
    </row>
    <row r="41" spans="1:13" x14ac:dyDescent="0.3">
      <c r="I41">
        <f t="shared" si="0"/>
        <v>2019</v>
      </c>
      <c r="J41" s="26">
        <f t="shared" si="0"/>
        <v>0.35</v>
      </c>
      <c r="K41" s="7">
        <f t="shared" si="0"/>
        <v>1050</v>
      </c>
      <c r="M41" s="7">
        <f>K41</f>
        <v>1050</v>
      </c>
    </row>
    <row r="42" spans="1:13" x14ac:dyDescent="0.3">
      <c r="C42" t="s">
        <v>44</v>
      </c>
      <c r="D42" t="s">
        <v>43</v>
      </c>
      <c r="E42" t="s">
        <v>42</v>
      </c>
      <c r="I42" s="6">
        <f t="shared" si="0"/>
        <v>2020</v>
      </c>
      <c r="J42" s="69">
        <f t="shared" si="0"/>
        <v>0.6</v>
      </c>
      <c r="K42" s="68">
        <f t="shared" si="0"/>
        <v>1025</v>
      </c>
      <c r="L42" s="6"/>
      <c r="M42" s="68">
        <f>K42+C12/1000</f>
        <v>1060</v>
      </c>
    </row>
    <row r="43" spans="1:13" x14ac:dyDescent="0.3">
      <c r="C43">
        <v>2018</v>
      </c>
      <c r="D43" s="26">
        <v>0.05</v>
      </c>
      <c r="E43" s="7">
        <v>1000</v>
      </c>
      <c r="K43" s="7">
        <f>SUMPRODUCT(J40:J42,K40:K42)</f>
        <v>1032.5</v>
      </c>
      <c r="M43" s="7">
        <f>SUMPRODUCT(J40:J42,M40:M42)</f>
        <v>1053.5</v>
      </c>
    </row>
    <row r="44" spans="1:13" x14ac:dyDescent="0.3">
      <c r="C44">
        <v>2019</v>
      </c>
      <c r="D44" s="26">
        <v>0.35</v>
      </c>
      <c r="E44" s="7">
        <v>1050</v>
      </c>
    </row>
    <row r="45" spans="1:13" x14ac:dyDescent="0.3">
      <c r="C45">
        <v>2020</v>
      </c>
      <c r="D45" s="26">
        <v>0.6</v>
      </c>
      <c r="E45" s="7">
        <v>1025</v>
      </c>
    </row>
    <row r="46" spans="1:13" x14ac:dyDescent="0.3">
      <c r="I46" s="7">
        <f>K43</f>
        <v>1032.5</v>
      </c>
      <c r="J46" t="s">
        <v>351</v>
      </c>
    </row>
    <row r="47" spans="1:13" x14ac:dyDescent="0.3">
      <c r="I47" s="7">
        <f>M43</f>
        <v>1053.5</v>
      </c>
      <c r="J47" t="s">
        <v>350</v>
      </c>
    </row>
    <row r="49" spans="9:10" x14ac:dyDescent="0.3">
      <c r="I49" s="7">
        <f>I47-I46</f>
        <v>21</v>
      </c>
      <c r="J49" t="s">
        <v>349</v>
      </c>
    </row>
    <row r="50" spans="9:10" x14ac:dyDescent="0.3">
      <c r="I50" s="27">
        <f>C12/1000</f>
        <v>35</v>
      </c>
      <c r="J50" t="s">
        <v>348</v>
      </c>
    </row>
    <row r="52" spans="9:10" x14ac:dyDescent="0.3">
      <c r="I52" s="19">
        <f>I49*3*C39+I50</f>
        <v>66.5</v>
      </c>
      <c r="J52" t="s">
        <v>347</v>
      </c>
    </row>
  </sheetData>
  <mergeCells count="5">
    <mergeCell ref="C10:F10"/>
    <mergeCell ref="C16:G16"/>
    <mergeCell ref="I16:M16"/>
    <mergeCell ref="C37:G37"/>
    <mergeCell ref="I37:M37"/>
  </mergeCell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0D356-1E64-40A9-9178-4B77349D728D}">
  <sheetPr>
    <tabColor theme="9" tint="0.59999389629810485"/>
  </sheetPr>
  <dimension ref="A1:AF96"/>
  <sheetViews>
    <sheetView workbookViewId="0">
      <selection activeCell="A3" sqref="A3"/>
    </sheetView>
  </sheetViews>
  <sheetFormatPr defaultColWidth="8.6640625" defaultRowHeight="14.4" x14ac:dyDescent="0.3"/>
  <cols>
    <col min="3" max="3" width="18.88671875" customWidth="1"/>
    <col min="4" max="6" width="12" customWidth="1"/>
    <col min="10" max="10" width="19.33203125" customWidth="1"/>
    <col min="11" max="13" width="13.88671875" customWidth="1"/>
    <col min="14" max="14" width="13.109375" customWidth="1"/>
    <col min="15" max="15" width="14.33203125" bestFit="1" customWidth="1"/>
    <col min="17" max="17" width="11.33203125" bestFit="1" customWidth="1"/>
  </cols>
  <sheetData>
    <row r="1" spans="1:13" ht="15" thickBot="1" x14ac:dyDescent="0.35">
      <c r="A1" t="s">
        <v>41</v>
      </c>
      <c r="G1" s="25" t="s">
        <v>40</v>
      </c>
      <c r="H1" s="24"/>
    </row>
    <row r="2" spans="1:13" x14ac:dyDescent="0.3">
      <c r="G2" s="23" t="s">
        <v>39</v>
      </c>
      <c r="H2" s="23"/>
    </row>
    <row r="3" spans="1:13" ht="15" thickBot="1" x14ac:dyDescent="0.35">
      <c r="G3" s="22" t="s">
        <v>38</v>
      </c>
      <c r="H3" s="22"/>
    </row>
    <row r="4" spans="1:13" ht="15.6" thickTop="1" thickBot="1" x14ac:dyDescent="0.35">
      <c r="G4" s="21" t="s">
        <v>37</v>
      </c>
      <c r="H4" s="21"/>
    </row>
    <row r="5" spans="1:13" ht="15" thickTop="1" x14ac:dyDescent="0.3">
      <c r="G5" s="20" t="s">
        <v>36</v>
      </c>
      <c r="H5" s="19"/>
    </row>
    <row r="9" spans="1:13" ht="15" thickBot="1" x14ac:dyDescent="0.35"/>
    <row r="10" spans="1:13" ht="15" thickBot="1" x14ac:dyDescent="0.35">
      <c r="C10" s="182" t="s">
        <v>16</v>
      </c>
      <c r="D10" s="183"/>
      <c r="E10" s="183"/>
      <c r="F10" s="184"/>
    </row>
    <row r="12" spans="1:13" x14ac:dyDescent="0.3">
      <c r="D12" t="s">
        <v>32</v>
      </c>
      <c r="E12" t="s">
        <v>31</v>
      </c>
      <c r="F12" t="s">
        <v>30</v>
      </c>
    </row>
    <row r="13" spans="1:13" x14ac:dyDescent="0.3">
      <c r="C13" s="18" t="s">
        <v>35</v>
      </c>
      <c r="D13" s="3">
        <v>0.1</v>
      </c>
      <c r="E13" s="3">
        <v>0.3</v>
      </c>
      <c r="F13" s="3">
        <v>0.6</v>
      </c>
    </row>
    <row r="14" spans="1:13" ht="15" thickBot="1" x14ac:dyDescent="0.35"/>
    <row r="15" spans="1:13" ht="15" thickBot="1" x14ac:dyDescent="0.35">
      <c r="C15" s="182" t="s">
        <v>10</v>
      </c>
      <c r="D15" s="183"/>
      <c r="E15" s="183"/>
      <c r="F15" s="183"/>
      <c r="G15" s="184"/>
      <c r="I15" s="182" t="s">
        <v>9</v>
      </c>
      <c r="J15" s="183"/>
      <c r="K15" s="183"/>
      <c r="L15" s="183"/>
      <c r="M15" s="184"/>
    </row>
    <row r="16" spans="1:13" s="6" customFormat="1" x14ac:dyDescent="0.3">
      <c r="A16" s="6" t="s">
        <v>34</v>
      </c>
    </row>
    <row r="17" spans="3:32" s="15" customFormat="1" ht="31.2" x14ac:dyDescent="0.3">
      <c r="C17" s="17" t="s">
        <v>33</v>
      </c>
      <c r="D17" s="16" t="s">
        <v>32</v>
      </c>
      <c r="E17" s="16" t="s">
        <v>31</v>
      </c>
      <c r="F17" s="16" t="s">
        <v>30</v>
      </c>
    </row>
    <row r="18" spans="3:32" ht="15.6" x14ac:dyDescent="0.3">
      <c r="C18" s="199" t="s">
        <v>29</v>
      </c>
      <c r="D18" s="199"/>
      <c r="E18" s="199"/>
      <c r="F18" s="199"/>
      <c r="J18" s="18" t="s">
        <v>605</v>
      </c>
      <c r="K18" t="s">
        <v>372</v>
      </c>
      <c r="L18" t="s">
        <v>371</v>
      </c>
      <c r="M18" t="s">
        <v>370</v>
      </c>
      <c r="N18" t="s">
        <v>604</v>
      </c>
    </row>
    <row r="19" spans="3:32" ht="15.6" x14ac:dyDescent="0.3">
      <c r="C19" s="10" t="s">
        <v>21</v>
      </c>
      <c r="D19" s="4">
        <v>140000</v>
      </c>
      <c r="E19" s="4">
        <v>145000</v>
      </c>
      <c r="F19" s="4">
        <v>150000</v>
      </c>
      <c r="J19" t="s">
        <v>603</v>
      </c>
    </row>
    <row r="20" spans="3:32" ht="15.6" x14ac:dyDescent="0.3">
      <c r="C20" s="10" t="s">
        <v>20</v>
      </c>
      <c r="D20" s="4">
        <v>19000</v>
      </c>
      <c r="E20" s="4">
        <v>21000</v>
      </c>
      <c r="F20" s="4">
        <v>18500</v>
      </c>
      <c r="J20" t="s">
        <v>21</v>
      </c>
      <c r="K20" s="28">
        <f>D19*(F24/D24)*D30*E30</f>
        <v>152173.91304347827</v>
      </c>
      <c r="L20" s="28">
        <f>E19*(F24/E24)*E30</f>
        <v>164772.72727272726</v>
      </c>
      <c r="M20" s="28">
        <f>F19</f>
        <v>150000</v>
      </c>
      <c r="N20" s="28">
        <f>SUMPRODUCT(K20:M20,$K$24:$M$24)</f>
        <v>154649.20948616602</v>
      </c>
      <c r="R20" s="28"/>
    </row>
    <row r="21" spans="3:32" ht="15.6" x14ac:dyDescent="0.3">
      <c r="C21" s="10" t="s">
        <v>19</v>
      </c>
      <c r="D21" s="4">
        <v>24000</v>
      </c>
      <c r="E21" s="4">
        <v>23000</v>
      </c>
      <c r="F21" s="4">
        <v>25000</v>
      </c>
      <c r="J21" t="s">
        <v>20</v>
      </c>
      <c r="K21" s="28">
        <f>D20*(F25/D25)*D31*E31</f>
        <v>21309.555555555558</v>
      </c>
      <c r="L21" s="28">
        <f>E20*(F25/E25)*E31</f>
        <v>23293.846153846152</v>
      </c>
      <c r="M21" s="28">
        <f>F20</f>
        <v>18500</v>
      </c>
      <c r="N21" s="28">
        <f>SUMPRODUCT(K21:M21,$K$24:$M$24)</f>
        <v>20219.1094017094</v>
      </c>
      <c r="R21" s="28"/>
    </row>
    <row r="22" spans="3:32" ht="15.6" x14ac:dyDescent="0.3">
      <c r="C22" s="10" t="s">
        <v>18</v>
      </c>
      <c r="D22" s="4">
        <v>17000</v>
      </c>
      <c r="E22" s="4">
        <v>17500</v>
      </c>
      <c r="F22" s="4">
        <v>15000</v>
      </c>
      <c r="J22" t="s">
        <v>19</v>
      </c>
      <c r="K22" s="28">
        <f>D21*(F26/D26)*D32*E32</f>
        <v>22314.6</v>
      </c>
      <c r="L22" s="28">
        <f>E21*(F26/E26)*E32</f>
        <v>24938.571428571424</v>
      </c>
      <c r="M22" s="28">
        <f>F21</f>
        <v>25000</v>
      </c>
      <c r="N22" s="28">
        <f>SUMPRODUCT(K22:M22,$K$24:$M$24)</f>
        <v>24713.031428571427</v>
      </c>
      <c r="R22" s="28"/>
    </row>
    <row r="23" spans="3:32" ht="15.6" x14ac:dyDescent="0.3">
      <c r="C23" s="199" t="s">
        <v>28</v>
      </c>
      <c r="D23" s="199"/>
      <c r="E23" s="199"/>
      <c r="F23" s="199"/>
      <c r="J23" t="s">
        <v>18</v>
      </c>
      <c r="K23" s="28">
        <f>D22*(F27/D27)*D33*E33</f>
        <v>18914.472000000002</v>
      </c>
      <c r="L23" s="28">
        <f>E22*(F27/E27)*E33</f>
        <v>18354.807692307695</v>
      </c>
      <c r="M23" s="28">
        <f>F22</f>
        <v>15000</v>
      </c>
      <c r="N23" s="28">
        <f>SUMPRODUCT(K23:M23,$K$24:$M$24)</f>
        <v>16397.889507692307</v>
      </c>
      <c r="R23" s="28"/>
    </row>
    <row r="24" spans="3:32" ht="15.6" x14ac:dyDescent="0.3">
      <c r="C24" s="10" t="s">
        <v>21</v>
      </c>
      <c r="D24" s="12">
        <v>1.1499999999999999</v>
      </c>
      <c r="E24" s="12">
        <v>1.1000000000000001</v>
      </c>
      <c r="F24" s="12">
        <v>1.25</v>
      </c>
      <c r="J24" t="s">
        <v>246</v>
      </c>
      <c r="K24">
        <f>D13</f>
        <v>0.1</v>
      </c>
      <c r="L24">
        <f>E13</f>
        <v>0.3</v>
      </c>
      <c r="M24">
        <f>F13</f>
        <v>0.6</v>
      </c>
      <c r="O24" s="23" t="s">
        <v>602</v>
      </c>
      <c r="P24" s="23"/>
      <c r="Q24" s="23"/>
      <c r="R24" s="23"/>
      <c r="S24" s="23"/>
      <c r="T24" s="23"/>
      <c r="U24" s="23"/>
      <c r="V24" s="23"/>
      <c r="W24" s="23"/>
      <c r="X24" s="23"/>
      <c r="Y24" s="23"/>
      <c r="Z24" s="23"/>
      <c r="AA24" s="23"/>
      <c r="AB24" s="23"/>
      <c r="AC24" s="23"/>
      <c r="AD24" s="23"/>
      <c r="AE24" s="23"/>
      <c r="AF24" s="23"/>
    </row>
    <row r="25" spans="3:32" ht="15.6" x14ac:dyDescent="0.3">
      <c r="C25" s="10" t="s">
        <v>20</v>
      </c>
      <c r="D25" s="12">
        <v>1.35</v>
      </c>
      <c r="E25" s="12">
        <v>1.3</v>
      </c>
      <c r="F25" s="12">
        <v>1.4</v>
      </c>
      <c r="J25" t="s">
        <v>580</v>
      </c>
      <c r="N25" s="89">
        <f>SUMPRODUCT(N20:N23,D37:D40)</f>
        <v>24333.030693404762</v>
      </c>
      <c r="O25" t="s">
        <v>601</v>
      </c>
    </row>
    <row r="26" spans="3:32" ht="15.6" x14ac:dyDescent="0.3">
      <c r="C26" s="10" t="s">
        <v>19</v>
      </c>
      <c r="D26" s="12">
        <v>1.2</v>
      </c>
      <c r="E26" s="12">
        <v>1.05</v>
      </c>
      <c r="F26" s="12">
        <v>1.1499999999999999</v>
      </c>
    </row>
    <row r="27" spans="3:32" ht="15.6" x14ac:dyDescent="0.3">
      <c r="C27" s="10" t="s">
        <v>18</v>
      </c>
      <c r="D27" s="12">
        <v>1.25</v>
      </c>
      <c r="E27" s="12">
        <v>1.3</v>
      </c>
      <c r="F27" s="12">
        <v>1.35</v>
      </c>
    </row>
    <row r="28" spans="3:32" ht="15.6" x14ac:dyDescent="0.3">
      <c r="C28" s="199"/>
      <c r="D28" s="199"/>
      <c r="E28" s="199"/>
      <c r="F28" s="199"/>
    </row>
    <row r="29" spans="3:32" ht="15.6" x14ac:dyDescent="0.3">
      <c r="C29" s="14" t="s">
        <v>27</v>
      </c>
      <c r="D29" s="13"/>
      <c r="E29" s="13"/>
      <c r="F29" s="13"/>
    </row>
    <row r="30" spans="3:32" ht="15.6" x14ac:dyDescent="0.3">
      <c r="C30" s="10" t="s">
        <v>21</v>
      </c>
      <c r="D30" s="12">
        <v>1</v>
      </c>
      <c r="E30" s="12">
        <v>1</v>
      </c>
      <c r="F30" s="11">
        <v>1</v>
      </c>
    </row>
    <row r="31" spans="3:32" ht="15.6" x14ac:dyDescent="0.3">
      <c r="C31" s="10" t="s">
        <v>20</v>
      </c>
      <c r="D31" s="12">
        <v>1.05</v>
      </c>
      <c r="E31" s="12">
        <v>1.03</v>
      </c>
      <c r="F31" s="11">
        <v>1</v>
      </c>
      <c r="K31" t="s">
        <v>23</v>
      </c>
    </row>
    <row r="32" spans="3:32" ht="15.6" x14ac:dyDescent="0.3">
      <c r="C32" s="10" t="s">
        <v>19</v>
      </c>
      <c r="D32" s="12">
        <v>0.98</v>
      </c>
      <c r="E32" s="12">
        <v>0.99</v>
      </c>
      <c r="F32" s="11">
        <v>1</v>
      </c>
      <c r="J32" s="18" t="s">
        <v>24</v>
      </c>
      <c r="K32" t="s">
        <v>370</v>
      </c>
      <c r="L32" t="s">
        <v>369</v>
      </c>
      <c r="M32" t="s">
        <v>479</v>
      </c>
      <c r="N32" t="s">
        <v>600</v>
      </c>
      <c r="O32" t="s">
        <v>599</v>
      </c>
    </row>
    <row r="33" spans="3:29" ht="15.6" x14ac:dyDescent="0.3">
      <c r="C33" s="10" t="s">
        <v>18</v>
      </c>
      <c r="D33" s="12">
        <v>1.02</v>
      </c>
      <c r="E33" s="12">
        <v>1.01</v>
      </c>
      <c r="F33" s="11">
        <v>1</v>
      </c>
      <c r="J33" t="s">
        <v>21</v>
      </c>
      <c r="K33">
        <f>F24</f>
        <v>1.25</v>
      </c>
      <c r="L33">
        <f>D45</f>
        <v>1.2</v>
      </c>
      <c r="M33" s="7">
        <f>N20</f>
        <v>154649.20948616602</v>
      </c>
      <c r="N33" s="93">
        <f>D37</f>
        <v>0.05</v>
      </c>
      <c r="O33" s="124">
        <f>L33/K33</f>
        <v>0.96</v>
      </c>
      <c r="P33" s="23" t="s">
        <v>598</v>
      </c>
      <c r="Q33" s="23"/>
      <c r="R33" s="23"/>
      <c r="S33" s="23"/>
      <c r="T33" s="23"/>
      <c r="U33" s="23"/>
      <c r="V33" s="23"/>
      <c r="W33" s="23"/>
      <c r="X33" s="23"/>
      <c r="Y33" s="23"/>
    </row>
    <row r="34" spans="3:29" ht="15.6" x14ac:dyDescent="0.3">
      <c r="C34" s="10"/>
      <c r="D34" s="12"/>
      <c r="E34" s="12"/>
      <c r="F34" s="11"/>
      <c r="J34" t="s">
        <v>20</v>
      </c>
      <c r="K34">
        <f>F25</f>
        <v>1.4</v>
      </c>
      <c r="L34">
        <f>D46</f>
        <v>1.5</v>
      </c>
      <c r="M34" s="7">
        <f>N21</f>
        <v>20219.1094017094</v>
      </c>
      <c r="N34" s="93">
        <f>D38</f>
        <v>0.05</v>
      </c>
      <c r="O34" s="124">
        <f>L34/K34</f>
        <v>1.0714285714285714</v>
      </c>
    </row>
    <row r="35" spans="3:29" x14ac:dyDescent="0.3">
      <c r="J35" t="s">
        <v>19</v>
      </c>
      <c r="K35">
        <f>F26</f>
        <v>1.1499999999999999</v>
      </c>
      <c r="L35">
        <f>D47</f>
        <v>1.1000000000000001</v>
      </c>
      <c r="M35" s="7">
        <f>N22</f>
        <v>24713.031428571427</v>
      </c>
      <c r="N35" s="93">
        <f>D39</f>
        <v>0.1</v>
      </c>
      <c r="O35" s="124">
        <f>L35/K35</f>
        <v>0.95652173913043492</v>
      </c>
    </row>
    <row r="36" spans="3:29" ht="15.6" x14ac:dyDescent="0.3">
      <c r="C36" s="10" t="s">
        <v>26</v>
      </c>
      <c r="D36" s="10"/>
      <c r="J36" s="6" t="s">
        <v>18</v>
      </c>
      <c r="K36" s="6">
        <f>F27</f>
        <v>1.35</v>
      </c>
      <c r="L36" s="6">
        <f>D48</f>
        <v>1.2</v>
      </c>
      <c r="M36" s="68">
        <f>N23</f>
        <v>16397.889507692307</v>
      </c>
      <c r="N36" s="126">
        <f>D40</f>
        <v>0.8</v>
      </c>
      <c r="O36" s="125">
        <f>L36/K36</f>
        <v>0.88888888888888884</v>
      </c>
    </row>
    <row r="37" spans="3:29" ht="15.6" x14ac:dyDescent="0.3">
      <c r="C37" s="10" t="s">
        <v>21</v>
      </c>
      <c r="D37" s="9">
        <v>0.05</v>
      </c>
      <c r="J37" s="32" t="s">
        <v>597</v>
      </c>
      <c r="O37" s="124">
        <f>SUMPRODUCT(O33:O36,N33:N36,M33:M36)/SUMPRODUCT(M33:M36,N33:N36)</f>
        <v>0.92593912867380157</v>
      </c>
      <c r="P37" s="23" t="s">
        <v>596</v>
      </c>
      <c r="Q37" s="23"/>
      <c r="R37" s="23"/>
      <c r="S37" s="23"/>
      <c r="T37" s="23"/>
      <c r="U37" s="23"/>
      <c r="V37" s="23"/>
      <c r="W37" s="23"/>
      <c r="X37" s="23"/>
      <c r="Y37" s="23"/>
      <c r="Z37" s="23"/>
      <c r="AA37" s="23"/>
      <c r="AB37" s="23"/>
      <c r="AC37" s="23"/>
    </row>
    <row r="38" spans="3:29" ht="15.6" x14ac:dyDescent="0.3">
      <c r="C38" s="10" t="s">
        <v>20</v>
      </c>
      <c r="D38" s="9">
        <v>0.05</v>
      </c>
    </row>
    <row r="39" spans="3:29" ht="15.6" x14ac:dyDescent="0.3">
      <c r="C39" s="10" t="s">
        <v>19</v>
      </c>
      <c r="D39" s="9">
        <v>0.1</v>
      </c>
    </row>
    <row r="40" spans="3:29" ht="15.6" x14ac:dyDescent="0.3">
      <c r="C40" s="10" t="s">
        <v>18</v>
      </c>
      <c r="D40" s="9">
        <v>0.8</v>
      </c>
    </row>
    <row r="41" spans="3:29" x14ac:dyDescent="0.3">
      <c r="J41" t="s">
        <v>595</v>
      </c>
      <c r="M41" t="s">
        <v>594</v>
      </c>
      <c r="N41" t="s">
        <v>593</v>
      </c>
      <c r="O41" t="s">
        <v>592</v>
      </c>
    </row>
    <row r="42" spans="3:29" x14ac:dyDescent="0.3">
      <c r="M42" t="s">
        <v>591</v>
      </c>
      <c r="N42" t="s">
        <v>590</v>
      </c>
      <c r="O42" t="s">
        <v>589</v>
      </c>
    </row>
    <row r="43" spans="3:29" x14ac:dyDescent="0.3">
      <c r="C43" t="s">
        <v>25</v>
      </c>
      <c r="J43" s="6" t="s">
        <v>588</v>
      </c>
      <c r="K43" s="6"/>
      <c r="L43" s="6" t="s">
        <v>587</v>
      </c>
      <c r="M43" s="6" t="s">
        <v>586</v>
      </c>
      <c r="N43" s="6" t="s">
        <v>585</v>
      </c>
      <c r="O43" s="6" t="s">
        <v>585</v>
      </c>
    </row>
    <row r="44" spans="3:29" x14ac:dyDescent="0.3">
      <c r="C44" s="8" t="s">
        <v>24</v>
      </c>
      <c r="D44" t="s">
        <v>23</v>
      </c>
      <c r="E44" s="8" t="s">
        <v>22</v>
      </c>
      <c r="J44" t="s">
        <v>584</v>
      </c>
      <c r="L44" s="124">
        <f>O33</f>
        <v>0.96</v>
      </c>
      <c r="M44" s="7">
        <f>N20*L44</f>
        <v>148463.24110671936</v>
      </c>
      <c r="N44" s="7">
        <f>E45</f>
        <v>1000</v>
      </c>
      <c r="O44" s="7">
        <f>M44+N44</f>
        <v>149463.24110671936</v>
      </c>
      <c r="R44" s="28"/>
    </row>
    <row r="45" spans="3:29" x14ac:dyDescent="0.3">
      <c r="C45" t="s">
        <v>21</v>
      </c>
      <c r="D45">
        <v>1.2</v>
      </c>
      <c r="E45" s="7">
        <v>1000</v>
      </c>
      <c r="J45" t="s">
        <v>583</v>
      </c>
      <c r="L45" s="124">
        <f>O34</f>
        <v>1.0714285714285714</v>
      </c>
      <c r="M45" s="7">
        <f>N21*L45</f>
        <v>21663.331501831501</v>
      </c>
      <c r="N45" s="7">
        <f>E46</f>
        <v>500</v>
      </c>
      <c r="O45" s="7">
        <f>M45+N45</f>
        <v>22163.331501831501</v>
      </c>
      <c r="R45" s="28"/>
    </row>
    <row r="46" spans="3:29" x14ac:dyDescent="0.3">
      <c r="C46" t="s">
        <v>20</v>
      </c>
      <c r="D46">
        <v>1.5</v>
      </c>
      <c r="E46" s="7">
        <v>500</v>
      </c>
      <c r="J46" t="s">
        <v>582</v>
      </c>
      <c r="L46" s="124">
        <f>O35</f>
        <v>0.95652173913043492</v>
      </c>
      <c r="M46" s="7">
        <f>N22*L46</f>
        <v>23638.551801242236</v>
      </c>
      <c r="N46" s="7">
        <f>E47</f>
        <v>300</v>
      </c>
      <c r="O46" s="7">
        <f>M46+N46</f>
        <v>23938.551801242236</v>
      </c>
      <c r="R46" s="28"/>
    </row>
    <row r="47" spans="3:29" x14ac:dyDescent="0.3">
      <c r="C47" t="s">
        <v>19</v>
      </c>
      <c r="D47">
        <v>1.1000000000000001</v>
      </c>
      <c r="E47" s="7">
        <v>300</v>
      </c>
      <c r="J47" t="s">
        <v>581</v>
      </c>
      <c r="L47" s="124">
        <f>O36</f>
        <v>0.88888888888888884</v>
      </c>
      <c r="M47" s="7">
        <f>N23*L47</f>
        <v>14575.901784615384</v>
      </c>
      <c r="N47" s="7">
        <f>E48</f>
        <v>150</v>
      </c>
      <c r="O47" s="7">
        <f>M47+N47</f>
        <v>14725.901784615384</v>
      </c>
      <c r="Q47" s="28"/>
      <c r="R47" s="28"/>
    </row>
    <row r="48" spans="3:29" x14ac:dyDescent="0.3">
      <c r="C48" t="s">
        <v>18</v>
      </c>
      <c r="D48">
        <v>1.2</v>
      </c>
      <c r="E48" s="7">
        <v>150</v>
      </c>
      <c r="J48" t="s">
        <v>580</v>
      </c>
      <c r="O48" s="19">
        <f>SUMPRODUCT(O44:O47,D37:D40)</f>
        <v>22755.905238244075</v>
      </c>
      <c r="P48" t="s">
        <v>579</v>
      </c>
    </row>
    <row r="49" spans="1:17" x14ac:dyDescent="0.3">
      <c r="Q49" s="28"/>
    </row>
    <row r="50" spans="1:17" s="6" customFormat="1" x14ac:dyDescent="0.3">
      <c r="A50" s="6" t="s">
        <v>17</v>
      </c>
    </row>
    <row r="51" spans="1:17" ht="15" thickBot="1" x14ac:dyDescent="0.35"/>
    <row r="52" spans="1:17" ht="15" thickBot="1" x14ac:dyDescent="0.35">
      <c r="C52" s="182" t="s">
        <v>16</v>
      </c>
      <c r="D52" s="183"/>
      <c r="E52" s="183"/>
      <c r="F52" s="184"/>
    </row>
    <row r="54" spans="1:17" x14ac:dyDescent="0.3">
      <c r="C54" s="5">
        <v>30000</v>
      </c>
      <c r="D54" t="s">
        <v>15</v>
      </c>
    </row>
    <row r="55" spans="1:17" ht="15.6" x14ac:dyDescent="0.3">
      <c r="C55" s="4">
        <v>650000000</v>
      </c>
      <c r="D55" t="s">
        <v>14</v>
      </c>
    </row>
    <row r="56" spans="1:17" x14ac:dyDescent="0.3">
      <c r="C56" s="3">
        <v>0.4</v>
      </c>
      <c r="D56" t="s">
        <v>13</v>
      </c>
    </row>
    <row r="57" spans="1:17" x14ac:dyDescent="0.3">
      <c r="C57" s="3">
        <v>0.55000000000000004</v>
      </c>
      <c r="D57" t="s">
        <v>12</v>
      </c>
    </row>
    <row r="58" spans="1:17" x14ac:dyDescent="0.3">
      <c r="C58" s="3">
        <v>0.1</v>
      </c>
      <c r="D58" t="s">
        <v>11</v>
      </c>
    </row>
    <row r="59" spans="1:17" ht="15" thickBot="1" x14ac:dyDescent="0.35"/>
    <row r="60" spans="1:17" ht="15" thickBot="1" x14ac:dyDescent="0.35">
      <c r="C60" s="182" t="s">
        <v>10</v>
      </c>
      <c r="D60" s="183"/>
      <c r="E60" s="183"/>
      <c r="F60" s="183"/>
      <c r="G60" s="184"/>
      <c r="I60" s="182" t="s">
        <v>9</v>
      </c>
      <c r="J60" s="183"/>
      <c r="K60" s="183"/>
      <c r="L60" s="183"/>
      <c r="M60" s="184"/>
    </row>
    <row r="62" spans="1:17" x14ac:dyDescent="0.3">
      <c r="C62" t="s">
        <v>8</v>
      </c>
      <c r="I62" t="s">
        <v>578</v>
      </c>
    </row>
    <row r="63" spans="1:17" x14ac:dyDescent="0.3">
      <c r="I63" t="s">
        <v>577</v>
      </c>
    </row>
    <row r="64" spans="1:17" x14ac:dyDescent="0.3">
      <c r="C64" s="2" t="s">
        <v>7</v>
      </c>
      <c r="D64" s="1" t="s">
        <v>6</v>
      </c>
      <c r="E64" s="1" t="s">
        <v>5</v>
      </c>
      <c r="I64" t="s">
        <v>576</v>
      </c>
    </row>
    <row r="65" spans="3:11" x14ac:dyDescent="0.3">
      <c r="C65" s="2" t="s">
        <v>4</v>
      </c>
      <c r="D65" s="1">
        <v>0.03</v>
      </c>
      <c r="E65" s="1">
        <v>2.7E-2</v>
      </c>
    </row>
    <row r="66" spans="3:11" x14ac:dyDescent="0.3">
      <c r="C66" s="2" t="s">
        <v>3</v>
      </c>
      <c r="D66" s="1">
        <v>2.7E-2</v>
      </c>
      <c r="E66" s="1">
        <v>2.5000000000000001E-2</v>
      </c>
      <c r="J66">
        <f>(E67-D67)*(30000-20000)/(50000-20000)+D67</f>
        <v>2.4E-2</v>
      </c>
      <c r="K66" t="s">
        <v>575</v>
      </c>
    </row>
    <row r="67" spans="3:11" x14ac:dyDescent="0.3">
      <c r="C67" s="2" t="s">
        <v>2</v>
      </c>
      <c r="D67" s="1">
        <v>2.5000000000000001E-2</v>
      </c>
      <c r="E67" s="1">
        <v>2.1999999999999999E-2</v>
      </c>
    </row>
    <row r="68" spans="3:11" x14ac:dyDescent="0.3">
      <c r="C68" s="2" t="s">
        <v>1</v>
      </c>
      <c r="D68" s="1">
        <v>2.1999999999999999E-2</v>
      </c>
      <c r="E68" s="1">
        <v>0.02</v>
      </c>
      <c r="I68" t="s">
        <v>574</v>
      </c>
    </row>
    <row r="69" spans="3:11" x14ac:dyDescent="0.3">
      <c r="C69" s="2" t="s">
        <v>0</v>
      </c>
      <c r="D69" s="1">
        <v>0.02</v>
      </c>
      <c r="E69" s="1">
        <v>0.02</v>
      </c>
      <c r="I69" t="s">
        <v>573</v>
      </c>
    </row>
    <row r="71" spans="3:11" x14ac:dyDescent="0.3">
      <c r="J71" s="7">
        <f>C54*O48</f>
        <v>682677157.1473223</v>
      </c>
      <c r="K71" t="s">
        <v>572</v>
      </c>
    </row>
    <row r="72" spans="3:11" x14ac:dyDescent="0.3">
      <c r="J72" s="7">
        <f>C55</f>
        <v>650000000</v>
      </c>
      <c r="K72" t="s">
        <v>571</v>
      </c>
    </row>
    <row r="73" spans="3:11" x14ac:dyDescent="0.3">
      <c r="J73" s="7">
        <f>J71-J72</f>
        <v>32677157.147322297</v>
      </c>
      <c r="K73" t="s">
        <v>570</v>
      </c>
    </row>
    <row r="75" spans="3:11" x14ac:dyDescent="0.3">
      <c r="I75" t="s">
        <v>569</v>
      </c>
    </row>
    <row r="76" spans="3:11" x14ac:dyDescent="0.3">
      <c r="I76" t="s">
        <v>568</v>
      </c>
    </row>
    <row r="77" spans="3:11" x14ac:dyDescent="0.3">
      <c r="J77" s="28">
        <f>J71*J66</f>
        <v>16384251.771535736</v>
      </c>
      <c r="K77" t="s">
        <v>567</v>
      </c>
    </row>
    <row r="79" spans="3:11" x14ac:dyDescent="0.3">
      <c r="I79" t="s">
        <v>566</v>
      </c>
    </row>
    <row r="81" spans="9:11" x14ac:dyDescent="0.3">
      <c r="I81" t="s">
        <v>565</v>
      </c>
    </row>
    <row r="82" spans="9:11" x14ac:dyDescent="0.3">
      <c r="I82" t="s">
        <v>564</v>
      </c>
    </row>
    <row r="83" spans="9:11" x14ac:dyDescent="0.3">
      <c r="J83" s="93">
        <f>C56*C57</f>
        <v>0.22000000000000003</v>
      </c>
      <c r="K83" t="s">
        <v>563</v>
      </c>
    </row>
    <row r="84" spans="9:11" x14ac:dyDescent="0.3">
      <c r="I84" s="123" t="s">
        <v>562</v>
      </c>
    </row>
    <row r="86" spans="9:11" x14ac:dyDescent="0.3">
      <c r="I86" t="s">
        <v>561</v>
      </c>
    </row>
    <row r="87" spans="9:11" x14ac:dyDescent="0.3">
      <c r="I87" t="s">
        <v>560</v>
      </c>
    </row>
    <row r="88" spans="9:11" x14ac:dyDescent="0.3">
      <c r="J88" s="19">
        <f>J83*J73</f>
        <v>7188974.5724109067</v>
      </c>
      <c r="K88" t="s">
        <v>559</v>
      </c>
    </row>
    <row r="90" spans="9:11" x14ac:dyDescent="0.3">
      <c r="I90" t="s">
        <v>558</v>
      </c>
    </row>
    <row r="91" spans="9:11" x14ac:dyDescent="0.3">
      <c r="I91" t="s">
        <v>557</v>
      </c>
    </row>
    <row r="92" spans="9:11" x14ac:dyDescent="0.3">
      <c r="J92" s="28">
        <f>J71*C58</f>
        <v>68267715.71473223</v>
      </c>
      <c r="K92" t="s">
        <v>556</v>
      </c>
    </row>
    <row r="94" spans="9:11" x14ac:dyDescent="0.3">
      <c r="I94" t="s">
        <v>555</v>
      </c>
    </row>
    <row r="95" spans="9:11" x14ac:dyDescent="0.3">
      <c r="I95" t="s">
        <v>554</v>
      </c>
    </row>
    <row r="96" spans="9:11" x14ac:dyDescent="0.3">
      <c r="I96" t="s">
        <v>553</v>
      </c>
    </row>
  </sheetData>
  <mergeCells count="9">
    <mergeCell ref="C52:F52"/>
    <mergeCell ref="C60:G60"/>
    <mergeCell ref="I60:M60"/>
    <mergeCell ref="C10:F10"/>
    <mergeCell ref="C15:G15"/>
    <mergeCell ref="I15:M15"/>
    <mergeCell ref="C18:F18"/>
    <mergeCell ref="C23:F23"/>
    <mergeCell ref="C28:F28"/>
  </mergeCells>
  <pageMargins left="0.7" right="0.7" top="0.75" bottom="0.75" header="0.3" footer="0.3"/>
  <pageSetup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58059-E59D-4B88-9975-19EF580AB613}">
  <sheetPr>
    <tabColor theme="1"/>
  </sheetPr>
  <dimension ref="A1"/>
  <sheetViews>
    <sheetView workbookViewId="0">
      <selection activeCell="W55" sqref="W55"/>
    </sheetView>
  </sheetViews>
  <sheetFormatPr defaultRowHeight="14.4" x14ac:dyDescent="0.3"/>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745BF-0E6C-487D-8647-96EE0213238D}">
  <sheetPr>
    <tabColor theme="5" tint="0.39997558519241921"/>
  </sheetPr>
  <dimension ref="A1:M23"/>
  <sheetViews>
    <sheetView zoomScaleNormal="100" workbookViewId="0">
      <selection activeCell="L46" sqref="L46"/>
    </sheetView>
  </sheetViews>
  <sheetFormatPr defaultRowHeight="14.4" x14ac:dyDescent="0.3"/>
  <cols>
    <col min="5" max="6" width="11.5546875" bestFit="1" customWidth="1"/>
    <col min="10" max="10" width="16.6640625" customWidth="1"/>
    <col min="11" max="11" width="27.109375" bestFit="1" customWidth="1"/>
  </cols>
  <sheetData>
    <row r="1" spans="1:13" ht="15" thickBot="1" x14ac:dyDescent="0.35">
      <c r="A1" t="s">
        <v>615</v>
      </c>
      <c r="G1" s="25" t="s">
        <v>40</v>
      </c>
      <c r="H1" s="24"/>
    </row>
    <row r="2" spans="1:13" x14ac:dyDescent="0.3">
      <c r="G2" s="23" t="s">
        <v>39</v>
      </c>
      <c r="H2" s="23"/>
    </row>
    <row r="3" spans="1:13" ht="15" thickBot="1" x14ac:dyDescent="0.35">
      <c r="G3" s="22" t="s">
        <v>38</v>
      </c>
      <c r="H3" s="22"/>
    </row>
    <row r="4" spans="1:13" ht="15.6" thickTop="1" thickBot="1" x14ac:dyDescent="0.35">
      <c r="G4" s="21" t="s">
        <v>37</v>
      </c>
      <c r="H4" s="21"/>
    </row>
    <row r="5" spans="1:13" ht="15" thickTop="1" x14ac:dyDescent="0.3">
      <c r="G5" s="20" t="s">
        <v>36</v>
      </c>
      <c r="H5" s="19"/>
    </row>
    <row r="9" spans="1:13" ht="15" thickBot="1" x14ac:dyDescent="0.35"/>
    <row r="10" spans="1:13" ht="15" thickBot="1" x14ac:dyDescent="0.35">
      <c r="C10" s="182" t="s">
        <v>16</v>
      </c>
      <c r="D10" s="183"/>
      <c r="E10" s="183"/>
      <c r="F10" s="184"/>
    </row>
    <row r="12" spans="1:13" x14ac:dyDescent="0.3">
      <c r="C12">
        <v>0.05</v>
      </c>
      <c r="D12" t="s">
        <v>614</v>
      </c>
    </row>
    <row r="13" spans="1:13" x14ac:dyDescent="0.3">
      <c r="C13">
        <v>3</v>
      </c>
      <c r="D13" t="s">
        <v>613</v>
      </c>
    </row>
    <row r="14" spans="1:13" x14ac:dyDescent="0.3">
      <c r="C14" s="3">
        <v>1.5</v>
      </c>
      <c r="D14" t="s">
        <v>612</v>
      </c>
    </row>
    <row r="15" spans="1:13" ht="15" thickBot="1" x14ac:dyDescent="0.35"/>
    <row r="16" spans="1:13" ht="15" thickBot="1" x14ac:dyDescent="0.35">
      <c r="C16" s="182" t="s">
        <v>10</v>
      </c>
      <c r="D16" s="183"/>
      <c r="E16" s="183"/>
      <c r="F16" s="183"/>
      <c r="G16" s="184"/>
      <c r="I16" s="182" t="s">
        <v>9</v>
      </c>
      <c r="J16" s="183"/>
      <c r="K16" s="183"/>
      <c r="L16" s="183"/>
      <c r="M16" s="184"/>
    </row>
    <row r="19" spans="4:6" x14ac:dyDescent="0.3">
      <c r="E19" t="s">
        <v>611</v>
      </c>
      <c r="F19" t="s">
        <v>610</v>
      </c>
    </row>
    <row r="20" spans="4:6" x14ac:dyDescent="0.3">
      <c r="D20" s="18" t="s">
        <v>609</v>
      </c>
      <c r="E20" s="5">
        <v>100000</v>
      </c>
      <c r="F20" s="5">
        <v>125000</v>
      </c>
    </row>
    <row r="21" spans="4:6" x14ac:dyDescent="0.3">
      <c r="D21" s="18" t="s">
        <v>608</v>
      </c>
      <c r="E21" s="5">
        <v>300000</v>
      </c>
      <c r="F21" s="5">
        <v>375000</v>
      </c>
    </row>
    <row r="22" spans="4:6" x14ac:dyDescent="0.3">
      <c r="D22" s="18" t="s">
        <v>607</v>
      </c>
      <c r="E22" s="5">
        <v>20000</v>
      </c>
      <c r="F22" s="5">
        <v>25000</v>
      </c>
    </row>
    <row r="23" spans="4:6" x14ac:dyDescent="0.3">
      <c r="D23" s="18" t="s">
        <v>606</v>
      </c>
      <c r="E23" s="27">
        <v>8350</v>
      </c>
      <c r="F23" s="27">
        <v>8350</v>
      </c>
    </row>
  </sheetData>
  <mergeCells count="3">
    <mergeCell ref="C10:F10"/>
    <mergeCell ref="C16:G16"/>
    <mergeCell ref="I16:M16"/>
  </mergeCell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F834D-0043-4421-BF53-7EE10E09C321}">
  <sheetPr>
    <tabColor theme="9" tint="0.59999389629810485"/>
  </sheetPr>
  <dimension ref="A1:W41"/>
  <sheetViews>
    <sheetView zoomScaleNormal="100" workbookViewId="0">
      <selection activeCell="R47" sqref="R47"/>
    </sheetView>
  </sheetViews>
  <sheetFormatPr defaultRowHeight="14.4" x14ac:dyDescent="0.3"/>
  <cols>
    <col min="5" max="6" width="11.5546875" bestFit="1" customWidth="1"/>
    <col min="10" max="10" width="16.6640625" customWidth="1"/>
    <col min="11" max="11" width="27.109375" bestFit="1" customWidth="1"/>
  </cols>
  <sheetData>
    <row r="1" spans="1:13" ht="15" thickBot="1" x14ac:dyDescent="0.35">
      <c r="A1" t="s">
        <v>615</v>
      </c>
      <c r="G1" s="25" t="s">
        <v>40</v>
      </c>
      <c r="H1" s="24"/>
    </row>
    <row r="2" spans="1:13" x14ac:dyDescent="0.3">
      <c r="G2" s="23" t="s">
        <v>39</v>
      </c>
      <c r="H2" s="23"/>
    </row>
    <row r="3" spans="1:13" ht="15" thickBot="1" x14ac:dyDescent="0.35">
      <c r="G3" s="22" t="s">
        <v>38</v>
      </c>
      <c r="H3" s="22"/>
    </row>
    <row r="4" spans="1:13" ht="15.6" thickTop="1" thickBot="1" x14ac:dyDescent="0.35">
      <c r="G4" s="21" t="s">
        <v>37</v>
      </c>
      <c r="H4" s="21"/>
    </row>
    <row r="5" spans="1:13" ht="15" thickTop="1" x14ac:dyDescent="0.3">
      <c r="G5" s="20" t="s">
        <v>36</v>
      </c>
      <c r="H5" s="19"/>
    </row>
    <row r="9" spans="1:13" ht="15" thickBot="1" x14ac:dyDescent="0.35"/>
    <row r="10" spans="1:13" ht="15" thickBot="1" x14ac:dyDescent="0.35">
      <c r="C10" s="182" t="s">
        <v>16</v>
      </c>
      <c r="D10" s="183"/>
      <c r="E10" s="183"/>
      <c r="F10" s="184"/>
    </row>
    <row r="12" spans="1:13" x14ac:dyDescent="0.3">
      <c r="C12">
        <v>0.05</v>
      </c>
      <c r="D12" t="s">
        <v>614</v>
      </c>
    </row>
    <row r="13" spans="1:13" x14ac:dyDescent="0.3">
      <c r="C13">
        <v>3</v>
      </c>
      <c r="D13" t="s">
        <v>613</v>
      </c>
    </row>
    <row r="14" spans="1:13" x14ac:dyDescent="0.3">
      <c r="C14" s="3">
        <v>1.5</v>
      </c>
      <c r="D14" t="s">
        <v>612</v>
      </c>
    </row>
    <row r="15" spans="1:13" ht="15" thickBot="1" x14ac:dyDescent="0.35"/>
    <row r="16" spans="1:13" ht="15" thickBot="1" x14ac:dyDescent="0.35">
      <c r="C16" s="182" t="s">
        <v>10</v>
      </c>
      <c r="D16" s="183"/>
      <c r="E16" s="183"/>
      <c r="F16" s="183"/>
      <c r="G16" s="184"/>
      <c r="I16" s="182" t="s">
        <v>9</v>
      </c>
      <c r="J16" s="183"/>
      <c r="K16" s="183"/>
      <c r="L16" s="183"/>
      <c r="M16" s="184"/>
    </row>
    <row r="19" spans="4:23" x14ac:dyDescent="0.3">
      <c r="E19" t="s">
        <v>611</v>
      </c>
      <c r="F19" t="s">
        <v>610</v>
      </c>
      <c r="I19" s="139" t="s">
        <v>728</v>
      </c>
      <c r="J19" s="139"/>
      <c r="K19" s="139"/>
      <c r="L19" s="139"/>
    </row>
    <row r="20" spans="4:23" x14ac:dyDescent="0.3">
      <c r="D20" s="18" t="s">
        <v>609</v>
      </c>
      <c r="E20" s="5">
        <v>100000</v>
      </c>
      <c r="F20" s="5">
        <v>125000</v>
      </c>
    </row>
    <row r="21" spans="4:23" x14ac:dyDescent="0.3">
      <c r="D21" s="18" t="s">
        <v>608</v>
      </c>
      <c r="E21" s="5">
        <v>300000</v>
      </c>
      <c r="F21" s="5">
        <v>375000</v>
      </c>
      <c r="I21" t="s">
        <v>662</v>
      </c>
      <c r="J21" s="31">
        <f>E21/12</f>
        <v>25000</v>
      </c>
      <c r="K21" t="s">
        <v>726</v>
      </c>
    </row>
    <row r="22" spans="4:23" x14ac:dyDescent="0.3">
      <c r="D22" s="18" t="s">
        <v>607</v>
      </c>
      <c r="E22" s="5">
        <v>20000</v>
      </c>
      <c r="F22" s="5">
        <v>25000</v>
      </c>
      <c r="J22" s="31">
        <f>E22</f>
        <v>20000</v>
      </c>
      <c r="K22" t="s">
        <v>725</v>
      </c>
    </row>
    <row r="23" spans="4:23" x14ac:dyDescent="0.3">
      <c r="D23" s="18" t="s">
        <v>606</v>
      </c>
      <c r="E23" s="27">
        <v>8350</v>
      </c>
      <c r="F23" s="27">
        <v>8350</v>
      </c>
      <c r="J23" s="31">
        <f>(J22/J21)*1000</f>
        <v>800</v>
      </c>
      <c r="K23" t="s">
        <v>724</v>
      </c>
      <c r="L23" s="23" t="s">
        <v>727</v>
      </c>
      <c r="M23" s="23"/>
      <c r="N23" s="23"/>
      <c r="O23" s="23"/>
      <c r="P23" s="23"/>
      <c r="Q23" s="23"/>
      <c r="R23" s="23"/>
      <c r="S23" s="23"/>
      <c r="T23" s="23"/>
      <c r="U23" s="23"/>
    </row>
    <row r="26" spans="4:23" x14ac:dyDescent="0.3">
      <c r="I26" t="s">
        <v>132</v>
      </c>
      <c r="J26" s="31">
        <f>F21/12</f>
        <v>31250</v>
      </c>
      <c r="K26" t="s">
        <v>726</v>
      </c>
    </row>
    <row r="27" spans="4:23" x14ac:dyDescent="0.3">
      <c r="J27" s="31">
        <f>F22</f>
        <v>25000</v>
      </c>
      <c r="K27" t="s">
        <v>725</v>
      </c>
      <c r="L27" s="23" t="s">
        <v>723</v>
      </c>
      <c r="M27" s="23"/>
      <c r="N27" s="23"/>
      <c r="O27" s="23"/>
      <c r="P27" s="23"/>
      <c r="Q27" s="23"/>
      <c r="R27" s="23"/>
    </row>
    <row r="28" spans="4:23" x14ac:dyDescent="0.3">
      <c r="J28" s="31">
        <f>(J27/J26)*1000</f>
        <v>800</v>
      </c>
      <c r="K28" t="s">
        <v>724</v>
      </c>
      <c r="L28" s="23" t="s">
        <v>723</v>
      </c>
      <c r="M28" s="23"/>
      <c r="N28" s="23"/>
      <c r="O28" s="23"/>
      <c r="P28" s="23"/>
      <c r="Q28" s="23"/>
      <c r="R28" s="23"/>
    </row>
    <row r="29" spans="4:23" x14ac:dyDescent="0.3">
      <c r="J29" s="7">
        <f>F23</f>
        <v>8350</v>
      </c>
      <c r="K29" t="s">
        <v>513</v>
      </c>
      <c r="L29" s="23" t="s">
        <v>722</v>
      </c>
      <c r="M29" s="23"/>
      <c r="N29" s="23"/>
      <c r="O29" s="23"/>
      <c r="P29" s="23"/>
      <c r="Q29" s="23"/>
      <c r="R29" s="23"/>
      <c r="S29" s="23"/>
      <c r="T29" s="23"/>
      <c r="U29" s="23"/>
      <c r="V29" s="23"/>
      <c r="W29" s="23"/>
    </row>
    <row r="32" spans="4:23" x14ac:dyDescent="0.3">
      <c r="I32" t="s">
        <v>402</v>
      </c>
      <c r="J32" s="31">
        <f>J23*(1+C12)</f>
        <v>840</v>
      </c>
      <c r="K32" t="s">
        <v>721</v>
      </c>
      <c r="L32" s="23" t="s">
        <v>720</v>
      </c>
      <c r="M32" s="23"/>
      <c r="N32" s="23"/>
      <c r="O32" s="23"/>
      <c r="P32" s="23"/>
    </row>
    <row r="33" spans="9:16" x14ac:dyDescent="0.3">
      <c r="I33" t="s">
        <v>719</v>
      </c>
      <c r="J33" s="31">
        <f>J32-J28</f>
        <v>40</v>
      </c>
      <c r="K33" t="s">
        <v>718</v>
      </c>
      <c r="L33" s="23" t="s">
        <v>717</v>
      </c>
      <c r="M33" s="23"/>
      <c r="N33" s="23"/>
      <c r="O33" s="23"/>
    </row>
    <row r="34" spans="9:16" x14ac:dyDescent="0.3">
      <c r="J34" s="31">
        <f>(J33*J26)/1000</f>
        <v>1250</v>
      </c>
      <c r="K34" t="s">
        <v>716</v>
      </c>
      <c r="L34" s="23" t="s">
        <v>715</v>
      </c>
      <c r="M34" s="23"/>
      <c r="N34" s="23"/>
      <c r="O34" s="23"/>
      <c r="P34" s="23"/>
    </row>
    <row r="35" spans="9:16" x14ac:dyDescent="0.3">
      <c r="J35" s="7">
        <f>J34*J29</f>
        <v>10437500</v>
      </c>
      <c r="K35" t="s">
        <v>714</v>
      </c>
      <c r="L35" s="23" t="s">
        <v>713</v>
      </c>
      <c r="M35" s="23"/>
      <c r="N35" s="23"/>
      <c r="O35" s="23"/>
      <c r="P35" s="23"/>
    </row>
    <row r="36" spans="9:16" x14ac:dyDescent="0.3">
      <c r="J36" s="7">
        <f>F20*C13*12</f>
        <v>4500000</v>
      </c>
      <c r="K36" t="s">
        <v>712</v>
      </c>
    </row>
    <row r="37" spans="9:16" x14ac:dyDescent="0.3">
      <c r="J37" s="138">
        <f>J35/J36</f>
        <v>2.3194444444444446</v>
      </c>
      <c r="K37" t="s">
        <v>711</v>
      </c>
    </row>
    <row r="38" spans="9:16" x14ac:dyDescent="0.3">
      <c r="J38" s="138">
        <f>J37-1</f>
        <v>1.3194444444444446</v>
      </c>
      <c r="K38" t="s">
        <v>710</v>
      </c>
    </row>
    <row r="40" spans="9:16" x14ac:dyDescent="0.3">
      <c r="J40" s="26">
        <f>C14</f>
        <v>1.5</v>
      </c>
      <c r="K40" t="s">
        <v>709</v>
      </c>
    </row>
    <row r="41" spans="9:16" x14ac:dyDescent="0.3">
      <c r="J41" t="b">
        <f>J38&gt;J40</f>
        <v>0</v>
      </c>
      <c r="K41" s="20" t="s">
        <v>708</v>
      </c>
      <c r="L41" s="20"/>
      <c r="M41" s="20"/>
    </row>
  </sheetData>
  <mergeCells count="3">
    <mergeCell ref="C10:F10"/>
    <mergeCell ref="C16:G16"/>
    <mergeCell ref="I16:M16"/>
  </mergeCells>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6F18F-9599-42BC-B480-44396592F638}">
  <sheetPr>
    <tabColor theme="5" tint="0.39997558519241921"/>
  </sheetPr>
  <dimension ref="A1:M26"/>
  <sheetViews>
    <sheetView workbookViewId="0">
      <selection activeCell="L46" sqref="L46"/>
    </sheetView>
  </sheetViews>
  <sheetFormatPr defaultRowHeight="14.4" x14ac:dyDescent="0.3"/>
  <sheetData>
    <row r="1" spans="1:8" ht="15" thickBot="1" x14ac:dyDescent="0.35">
      <c r="A1" t="s">
        <v>626</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C12">
        <v>2</v>
      </c>
      <c r="D12" t="s">
        <v>625</v>
      </c>
    </row>
    <row r="13" spans="1:8" x14ac:dyDescent="0.3">
      <c r="C13">
        <v>-0.06</v>
      </c>
      <c r="D13" t="s">
        <v>624</v>
      </c>
    </row>
    <row r="14" spans="1:8" x14ac:dyDescent="0.3">
      <c r="C14">
        <v>0.3</v>
      </c>
      <c r="D14" t="s">
        <v>623</v>
      </c>
    </row>
    <row r="15" spans="1:8" x14ac:dyDescent="0.3">
      <c r="C15">
        <v>-0.2</v>
      </c>
      <c r="D15" t="s">
        <v>622</v>
      </c>
    </row>
    <row r="17" spans="3:13" x14ac:dyDescent="0.3">
      <c r="C17" t="s">
        <v>621</v>
      </c>
    </row>
    <row r="18" spans="3:13" x14ac:dyDescent="0.3">
      <c r="C18" t="s">
        <v>620</v>
      </c>
    </row>
    <row r="21" spans="3:13" ht="15" thickBot="1" x14ac:dyDescent="0.35"/>
    <row r="22" spans="3:13" ht="15" thickBot="1" x14ac:dyDescent="0.35">
      <c r="C22" s="182" t="s">
        <v>10</v>
      </c>
      <c r="D22" s="183"/>
      <c r="E22" s="183"/>
      <c r="F22" s="183"/>
      <c r="G22" s="184"/>
      <c r="I22" s="182" t="s">
        <v>9</v>
      </c>
      <c r="J22" s="183"/>
      <c r="K22" s="183"/>
      <c r="L22" s="183"/>
      <c r="M22" s="184"/>
    </row>
    <row r="24" spans="3:13" x14ac:dyDescent="0.3">
      <c r="C24" t="s">
        <v>619</v>
      </c>
      <c r="D24" t="s">
        <v>618</v>
      </c>
      <c r="E24" t="s">
        <v>617</v>
      </c>
      <c r="F24" t="s">
        <v>616</v>
      </c>
    </row>
    <row r="25" spans="3:13" x14ac:dyDescent="0.3">
      <c r="C25">
        <v>1</v>
      </c>
      <c r="D25">
        <v>25</v>
      </c>
      <c r="E25">
        <v>0</v>
      </c>
      <c r="F25">
        <v>1</v>
      </c>
    </row>
    <row r="26" spans="3:13" x14ac:dyDescent="0.3">
      <c r="C26">
        <v>2</v>
      </c>
      <c r="D26">
        <v>35</v>
      </c>
      <c r="E26">
        <v>1</v>
      </c>
      <c r="F26">
        <v>0</v>
      </c>
    </row>
  </sheetData>
  <mergeCells count="3">
    <mergeCell ref="C10:F10"/>
    <mergeCell ref="C22:G22"/>
    <mergeCell ref="I22:M22"/>
  </mergeCell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87F10-8CE9-4774-97CA-9FFCE2BC8161}">
  <sheetPr>
    <tabColor theme="9" tint="0.59999389629810485"/>
  </sheetPr>
  <dimension ref="A1:M28"/>
  <sheetViews>
    <sheetView workbookViewId="0">
      <selection activeCell="R47" sqref="R47"/>
    </sheetView>
  </sheetViews>
  <sheetFormatPr defaultRowHeight="14.4" x14ac:dyDescent="0.3"/>
  <sheetData>
    <row r="1" spans="1:8" ht="15" thickBot="1" x14ac:dyDescent="0.35">
      <c r="A1" t="s">
        <v>626</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C12">
        <v>2</v>
      </c>
      <c r="D12" t="s">
        <v>625</v>
      </c>
    </row>
    <row r="13" spans="1:8" x14ac:dyDescent="0.3">
      <c r="C13">
        <v>-0.06</v>
      </c>
      <c r="D13" t="s">
        <v>624</v>
      </c>
    </row>
    <row r="14" spans="1:8" x14ac:dyDescent="0.3">
      <c r="C14">
        <v>0.3</v>
      </c>
      <c r="D14" t="s">
        <v>623</v>
      </c>
    </row>
    <row r="15" spans="1:8" x14ac:dyDescent="0.3">
      <c r="C15">
        <v>-0.2</v>
      </c>
      <c r="D15" t="s">
        <v>622</v>
      </c>
    </row>
    <row r="17" spans="3:13" x14ac:dyDescent="0.3">
      <c r="C17" t="s">
        <v>621</v>
      </c>
    </row>
    <row r="18" spans="3:13" x14ac:dyDescent="0.3">
      <c r="C18" t="s">
        <v>620</v>
      </c>
    </row>
    <row r="21" spans="3:13" ht="15" thickBot="1" x14ac:dyDescent="0.35"/>
    <row r="22" spans="3:13" ht="15" thickBot="1" x14ac:dyDescent="0.35">
      <c r="C22" s="182" t="s">
        <v>10</v>
      </c>
      <c r="D22" s="183"/>
      <c r="E22" s="183"/>
      <c r="F22" s="183"/>
      <c r="G22" s="184"/>
      <c r="I22" s="182" t="s">
        <v>9</v>
      </c>
      <c r="J22" s="183"/>
      <c r="K22" s="183"/>
      <c r="L22" s="183"/>
      <c r="M22" s="184"/>
    </row>
    <row r="24" spans="3:13" x14ac:dyDescent="0.3">
      <c r="C24" t="s">
        <v>619</v>
      </c>
      <c r="D24" t="s">
        <v>618</v>
      </c>
      <c r="E24" t="s">
        <v>617</v>
      </c>
      <c r="F24" t="s">
        <v>616</v>
      </c>
      <c r="I24" t="s">
        <v>730</v>
      </c>
    </row>
    <row r="25" spans="3:13" x14ac:dyDescent="0.3">
      <c r="C25">
        <v>1</v>
      </c>
      <c r="D25">
        <v>25</v>
      </c>
      <c r="E25">
        <v>0</v>
      </c>
      <c r="F25">
        <v>1</v>
      </c>
    </row>
    <row r="26" spans="3:13" x14ac:dyDescent="0.3">
      <c r="C26">
        <v>2</v>
      </c>
      <c r="D26">
        <v>35</v>
      </c>
      <c r="E26">
        <v>1</v>
      </c>
      <c r="F26">
        <v>0</v>
      </c>
      <c r="I26" s="142" t="s">
        <v>619</v>
      </c>
      <c r="J26" s="142" t="s">
        <v>729</v>
      </c>
    </row>
    <row r="27" spans="3:13" x14ac:dyDescent="0.3">
      <c r="I27" s="32">
        <v>1</v>
      </c>
      <c r="J27" s="141" cm="1">
        <f t="array" ref="J27">EXP($C$12+SUMPRODUCT($C$13:$C$15,TRANSPOSE(D25:F25)))/(1+EXP($C$12+SUMPRODUCT($C$13:$C$15,TRANSPOSE(D25:F25))))</f>
        <v>0.57444251681165903</v>
      </c>
    </row>
    <row r="28" spans="3:13" x14ac:dyDescent="0.3">
      <c r="I28" s="32">
        <v>2</v>
      </c>
      <c r="J28" s="140" cm="1">
        <f t="array" ref="J28">EXP($C$12+SUMPRODUCT($C$13:$C$15,TRANSPOSE(D26:F26)))/(1+EXP($C$12+SUMPRODUCT($C$13:$C$15,TRANSPOSE(D26:F26))))</f>
        <v>0.54983399731247795</v>
      </c>
    </row>
  </sheetData>
  <mergeCells count="3">
    <mergeCell ref="C10:F10"/>
    <mergeCell ref="C22:G22"/>
    <mergeCell ref="I22:M22"/>
  </mergeCells>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96452-B51E-441A-B844-82CA2A05DF2F}">
  <sheetPr>
    <tabColor theme="5" tint="0.39997558519241921"/>
  </sheetPr>
  <dimension ref="A1:Q317"/>
  <sheetViews>
    <sheetView workbookViewId="0">
      <pane xSplit="1" ySplit="17" topLeftCell="B33" activePane="bottomRight" state="frozen"/>
      <selection activeCell="L46" sqref="L46"/>
      <selection pane="topRight" activeCell="L46" sqref="L46"/>
      <selection pane="bottomLeft" activeCell="L46" sqref="L46"/>
      <selection pane="bottomRight" activeCell="L46" sqref="L46"/>
    </sheetView>
  </sheetViews>
  <sheetFormatPr defaultRowHeight="14.4" x14ac:dyDescent="0.3"/>
  <cols>
    <col min="3" max="3" width="9.88671875" bestFit="1" customWidth="1"/>
    <col min="5" max="5" width="9.88671875" bestFit="1" customWidth="1"/>
    <col min="12" max="12" width="16.88671875" customWidth="1"/>
    <col min="13" max="17" width="14.6640625" customWidth="1"/>
    <col min="18" max="18" width="14.33203125" customWidth="1"/>
    <col min="19" max="19" width="9.6640625" customWidth="1"/>
    <col min="20" max="20" width="4.6640625" customWidth="1"/>
    <col min="21" max="24" width="10.88671875" customWidth="1"/>
    <col min="25" max="25" width="10.88671875" bestFit="1" customWidth="1"/>
    <col min="26" max="26" width="11.33203125" customWidth="1"/>
    <col min="27" max="27" width="23.109375" bestFit="1" customWidth="1"/>
    <col min="28" max="28" width="29" bestFit="1" customWidth="1"/>
  </cols>
  <sheetData>
    <row r="1" spans="1:16" ht="15" thickBot="1" x14ac:dyDescent="0.35">
      <c r="A1" t="s">
        <v>648</v>
      </c>
      <c r="B1" s="133"/>
      <c r="C1" s="133"/>
      <c r="D1" s="133"/>
      <c r="E1" s="133"/>
      <c r="J1" s="25" t="s">
        <v>40</v>
      </c>
      <c r="K1" s="24"/>
    </row>
    <row r="2" spans="1:16" x14ac:dyDescent="0.3">
      <c r="B2" s="133"/>
      <c r="C2" s="133"/>
      <c r="D2" s="133"/>
      <c r="J2" s="23" t="s">
        <v>39</v>
      </c>
      <c r="K2" s="23"/>
    </row>
    <row r="3" spans="1:16" ht="15" thickBot="1" x14ac:dyDescent="0.35">
      <c r="J3" s="22" t="s">
        <v>38</v>
      </c>
      <c r="K3" s="22"/>
    </row>
    <row r="4" spans="1:16" ht="15.6" thickTop="1" thickBot="1" x14ac:dyDescent="0.35">
      <c r="J4" s="21" t="s">
        <v>37</v>
      </c>
      <c r="K4" s="21"/>
    </row>
    <row r="5" spans="1:16" ht="15" thickTop="1" x14ac:dyDescent="0.3">
      <c r="J5" s="20" t="s">
        <v>36</v>
      </c>
      <c r="K5" s="19"/>
    </row>
    <row r="6" spans="1:16" ht="15" thickBot="1" x14ac:dyDescent="0.35"/>
    <row r="7" spans="1:16" ht="15" thickBot="1" x14ac:dyDescent="0.35">
      <c r="B7" s="182" t="s">
        <v>16</v>
      </c>
      <c r="C7" s="183"/>
      <c r="D7" s="183"/>
      <c r="E7" s="184"/>
    </row>
    <row r="9" spans="1:16" x14ac:dyDescent="0.3">
      <c r="C9" t="s">
        <v>647</v>
      </c>
    </row>
    <row r="10" spans="1:16" x14ac:dyDescent="0.3">
      <c r="B10">
        <v>50</v>
      </c>
      <c r="C10" t="s">
        <v>646</v>
      </c>
    </row>
    <row r="11" spans="1:16" x14ac:dyDescent="0.3">
      <c r="B11">
        <v>2</v>
      </c>
      <c r="C11" t="s">
        <v>645</v>
      </c>
    </row>
    <row r="12" spans="1:16" x14ac:dyDescent="0.3">
      <c r="C12" t="s">
        <v>644</v>
      </c>
    </row>
    <row r="14" spans="1:16" ht="15" thickBot="1" x14ac:dyDescent="0.35"/>
    <row r="15" spans="1:16" ht="15" thickBot="1" x14ac:dyDescent="0.35">
      <c r="B15" s="182" t="s">
        <v>10</v>
      </c>
      <c r="C15" s="183"/>
      <c r="D15" s="183"/>
      <c r="E15" s="183"/>
      <c r="F15" s="183"/>
      <c r="G15" s="183"/>
      <c r="H15" s="183"/>
      <c r="I15" s="183"/>
      <c r="J15" s="184"/>
      <c r="L15" s="182" t="s">
        <v>9</v>
      </c>
      <c r="M15" s="183"/>
      <c r="N15" s="183"/>
      <c r="O15" s="183"/>
      <c r="P15" s="184"/>
    </row>
    <row r="17" spans="2:17" x14ac:dyDescent="0.3">
      <c r="B17" t="s">
        <v>643</v>
      </c>
      <c r="C17" t="s">
        <v>642</v>
      </c>
      <c r="D17" t="s">
        <v>641</v>
      </c>
      <c r="E17" t="s">
        <v>640</v>
      </c>
      <c r="F17" t="s">
        <v>639</v>
      </c>
      <c r="G17" t="s">
        <v>638</v>
      </c>
      <c r="H17" t="s">
        <v>637</v>
      </c>
      <c r="I17" t="s">
        <v>636</v>
      </c>
      <c r="J17" t="s">
        <v>635</v>
      </c>
    </row>
    <row r="18" spans="2:17" x14ac:dyDescent="0.3">
      <c r="B18">
        <v>1</v>
      </c>
      <c r="C18" s="55">
        <v>26080.523694351166</v>
      </c>
      <c r="D18">
        <v>12</v>
      </c>
      <c r="E18" s="55">
        <v>25680.211225680057</v>
      </c>
      <c r="F18">
        <v>12</v>
      </c>
      <c r="G18" t="s">
        <v>194</v>
      </c>
      <c r="H18" t="s">
        <v>194</v>
      </c>
      <c r="I18" t="s">
        <v>194</v>
      </c>
      <c r="J18" t="s">
        <v>194</v>
      </c>
      <c r="L18" s="200" t="s">
        <v>611</v>
      </c>
      <c r="M18" s="200"/>
      <c r="O18" s="109"/>
      <c r="P18" s="73" t="s">
        <v>634</v>
      </c>
    </row>
    <row r="19" spans="2:17" x14ac:dyDescent="0.3">
      <c r="B19">
        <v>2</v>
      </c>
      <c r="C19" s="55">
        <v>35590.376946640754</v>
      </c>
      <c r="D19">
        <v>12</v>
      </c>
      <c r="E19" s="55">
        <v>35412.169801434473</v>
      </c>
      <c r="F19">
        <v>12</v>
      </c>
      <c r="G19" t="s">
        <v>194</v>
      </c>
      <c r="H19" t="s">
        <v>194</v>
      </c>
      <c r="I19" t="s">
        <v>194</v>
      </c>
      <c r="J19" t="s">
        <v>194</v>
      </c>
      <c r="L19" s="35" t="s">
        <v>631</v>
      </c>
      <c r="M19" s="35" t="s">
        <v>630</v>
      </c>
      <c r="N19" s="35" t="s">
        <v>633</v>
      </c>
      <c r="O19" s="118" t="s">
        <v>632</v>
      </c>
      <c r="P19" s="35" t="s">
        <v>629</v>
      </c>
      <c r="Q19" s="35" t="s">
        <v>628</v>
      </c>
    </row>
    <row r="20" spans="2:17" x14ac:dyDescent="0.3">
      <c r="B20">
        <v>3</v>
      </c>
      <c r="C20" s="55">
        <v>35790.104093085494</v>
      </c>
      <c r="D20">
        <v>12</v>
      </c>
      <c r="E20" s="55">
        <v>38429.521710464134</v>
      </c>
      <c r="F20">
        <v>12</v>
      </c>
      <c r="G20" t="s">
        <v>194</v>
      </c>
      <c r="H20" t="s">
        <v>194</v>
      </c>
      <c r="I20" t="s">
        <v>194</v>
      </c>
      <c r="J20" t="s">
        <v>194</v>
      </c>
      <c r="L20" s="32" t="s">
        <v>194</v>
      </c>
      <c r="M20" s="32" t="s">
        <v>194</v>
      </c>
      <c r="N20" s="128">
        <f>SUMIFS($C$18:$C$317,$G$18:$G$317,L20,$H$18:$H$317,M20)</f>
        <v>3884646.7139145946</v>
      </c>
      <c r="O20" s="127">
        <f>SUMIFS($D$18:$D$317,$G$18:$G$317,L20,$H$18:$H$317,M20)</f>
        <v>1630</v>
      </c>
      <c r="P20" s="128">
        <f>SUMIFS($E$18:$E$317,$G$18:$G$317,L20,$H$18:$H$317,M20)</f>
        <v>4433881.2567390697</v>
      </c>
      <c r="Q20" s="131">
        <f>SUMIFS($F$18:$F$317,$G$18:$G$317,L20,$H$18:$H$317,M20)</f>
        <v>1671</v>
      </c>
    </row>
    <row r="21" spans="2:17" x14ac:dyDescent="0.3">
      <c r="B21">
        <v>4</v>
      </c>
      <c r="C21" s="55">
        <v>35405.03832533308</v>
      </c>
      <c r="D21">
        <v>12</v>
      </c>
      <c r="E21" s="55">
        <v>24342.983934671851</v>
      </c>
      <c r="F21">
        <v>12</v>
      </c>
      <c r="G21" t="s">
        <v>194</v>
      </c>
      <c r="H21" t="s">
        <v>194</v>
      </c>
      <c r="I21" t="s">
        <v>194</v>
      </c>
      <c r="J21" t="s">
        <v>194</v>
      </c>
      <c r="L21" s="32" t="s">
        <v>194</v>
      </c>
      <c r="M21" s="32" t="s">
        <v>183</v>
      </c>
      <c r="N21" s="128">
        <f>SUMIFS($C$18:$C$317,$G$18:$G$317,L21,$H$18:$H$317,M21)</f>
        <v>1773054.5623195965</v>
      </c>
      <c r="O21" s="127">
        <f>SUMIFS($D$18:$D$317,$G$18:$G$317,L21,$H$18:$H$317,M21)</f>
        <v>559</v>
      </c>
      <c r="P21" s="128">
        <f>SUMIFS($E$18:$E$317,$G$18:$G$317,L21,$H$18:$H$317,M21)</f>
        <v>2033436.1339476875</v>
      </c>
      <c r="Q21" s="131">
        <f>SUMIFS($F$18:$F$317,$G$18:$G$317,L21,$H$18:$H$317,M21)</f>
        <v>579</v>
      </c>
    </row>
    <row r="22" spans="2:17" x14ac:dyDescent="0.3">
      <c r="B22">
        <v>5</v>
      </c>
      <c r="C22" s="55">
        <v>18307.631188026571</v>
      </c>
      <c r="D22">
        <v>12</v>
      </c>
      <c r="E22" s="55">
        <v>29751.979123492569</v>
      </c>
      <c r="F22">
        <v>12</v>
      </c>
      <c r="G22" t="s">
        <v>194</v>
      </c>
      <c r="H22" t="s">
        <v>194</v>
      </c>
      <c r="I22" t="s">
        <v>194</v>
      </c>
      <c r="J22" t="s">
        <v>194</v>
      </c>
      <c r="L22" s="32" t="s">
        <v>183</v>
      </c>
      <c r="M22" s="32" t="s">
        <v>194</v>
      </c>
      <c r="N22" s="128">
        <f>SUMIFS($C$18:$C$317,$G$18:$G$317,L22,$H$18:$H$317,M22)</f>
        <v>1107661.5809957967</v>
      </c>
      <c r="O22" s="127">
        <f>SUMIFS($D$18:$D$317,$G$18:$G$317,L22,$H$18:$H$317,M22)</f>
        <v>429</v>
      </c>
      <c r="P22" s="128">
        <f>SUMIFS($E$18:$E$317,$G$18:$G$317,L22,$H$18:$H$317,M22)</f>
        <v>1429260.9918056782</v>
      </c>
      <c r="Q22" s="131">
        <f>SUMIFS($F$18:$F$317,$G$18:$G$317,L22,$H$18:$H$317,M22)</f>
        <v>438</v>
      </c>
    </row>
    <row r="23" spans="2:17" x14ac:dyDescent="0.3">
      <c r="B23">
        <v>6</v>
      </c>
      <c r="C23" s="55">
        <v>35413.079142539107</v>
      </c>
      <c r="D23">
        <v>12</v>
      </c>
      <c r="E23" s="55">
        <v>43304.522667692836</v>
      </c>
      <c r="F23">
        <v>12</v>
      </c>
      <c r="G23" t="s">
        <v>194</v>
      </c>
      <c r="H23" t="s">
        <v>194</v>
      </c>
      <c r="I23" t="s">
        <v>194</v>
      </c>
      <c r="J23" t="s">
        <v>194</v>
      </c>
      <c r="L23" s="35" t="s">
        <v>183</v>
      </c>
      <c r="M23" s="35" t="s">
        <v>183</v>
      </c>
      <c r="N23" s="130">
        <f>SUMIFS($C$18:$C$317,$G$18:$G$317,L23,$H$18:$H$317,M23)</f>
        <v>2380265.1810617126</v>
      </c>
      <c r="O23" s="129">
        <f>SUMIFS($D$18:$D$317,$G$18:$G$317,L23,$H$18:$H$317,M23)</f>
        <v>673</v>
      </c>
      <c r="P23" s="130">
        <f>SUMIFS($E$18:$E$317,$G$18:$G$317,L23,$H$18:$H$317,M23)</f>
        <v>2353833.0920698396</v>
      </c>
      <c r="Q23" s="132">
        <f>SUMIFS($F$18:$F$317,$G$18:$G$317,L23,$H$18:$H$317,M23)</f>
        <v>691</v>
      </c>
    </row>
    <row r="24" spans="2:17" x14ac:dyDescent="0.3">
      <c r="B24">
        <v>7</v>
      </c>
      <c r="C24" s="55">
        <v>15483.363757028932</v>
      </c>
      <c r="D24">
        <v>12</v>
      </c>
      <c r="E24" s="55">
        <v>24919.03935829992</v>
      </c>
      <c r="F24">
        <v>12</v>
      </c>
      <c r="G24" t="s">
        <v>194</v>
      </c>
      <c r="H24" t="s">
        <v>194</v>
      </c>
      <c r="I24" t="s">
        <v>194</v>
      </c>
      <c r="J24" t="s">
        <v>194</v>
      </c>
      <c r="L24" s="32" t="s">
        <v>627</v>
      </c>
      <c r="M24" s="32"/>
      <c r="N24" s="128">
        <f>SUM(N20:N23)</f>
        <v>9145628.0382917002</v>
      </c>
      <c r="O24" s="127">
        <f>SUM(O20:O23)</f>
        <v>3291</v>
      </c>
      <c r="P24" s="128">
        <f>SUM(P20:P23)</f>
        <v>10250411.474562274</v>
      </c>
      <c r="Q24" s="131">
        <f>SUM(Q20:Q23)</f>
        <v>3379</v>
      </c>
    </row>
    <row r="25" spans="2:17" x14ac:dyDescent="0.3">
      <c r="B25">
        <v>8</v>
      </c>
      <c r="C25" s="55">
        <v>24576.547385761478</v>
      </c>
      <c r="D25">
        <v>12</v>
      </c>
      <c r="E25" s="55">
        <v>38250.782115870621</v>
      </c>
      <c r="F25">
        <v>12</v>
      </c>
      <c r="G25" t="s">
        <v>194</v>
      </c>
      <c r="H25" t="s">
        <v>194</v>
      </c>
      <c r="I25" t="s">
        <v>194</v>
      </c>
      <c r="J25" t="s">
        <v>194</v>
      </c>
    </row>
    <row r="26" spans="2:17" x14ac:dyDescent="0.3">
      <c r="B26">
        <v>9</v>
      </c>
      <c r="C26" s="55">
        <v>20956.929974336286</v>
      </c>
      <c r="D26">
        <v>12</v>
      </c>
      <c r="E26" s="55">
        <v>25630.199975567724</v>
      </c>
      <c r="F26">
        <v>12</v>
      </c>
      <c r="G26" t="s">
        <v>194</v>
      </c>
      <c r="H26" t="s">
        <v>194</v>
      </c>
      <c r="I26" t="s">
        <v>194</v>
      </c>
      <c r="J26" t="s">
        <v>194</v>
      </c>
      <c r="L26" s="200" t="s">
        <v>132</v>
      </c>
      <c r="M26" s="200"/>
    </row>
    <row r="27" spans="2:17" x14ac:dyDescent="0.3">
      <c r="B27">
        <v>10</v>
      </c>
      <c r="C27" s="55">
        <v>18820.622722846787</v>
      </c>
      <c r="D27">
        <v>12</v>
      </c>
      <c r="E27" s="55">
        <v>30134.040755848957</v>
      </c>
      <c r="F27">
        <v>12</v>
      </c>
      <c r="G27" t="s">
        <v>194</v>
      </c>
      <c r="H27" t="s">
        <v>194</v>
      </c>
      <c r="I27" t="s">
        <v>194</v>
      </c>
      <c r="J27" t="s">
        <v>194</v>
      </c>
      <c r="L27" s="35" t="s">
        <v>631</v>
      </c>
      <c r="M27" s="35" t="s">
        <v>630</v>
      </c>
      <c r="N27" s="35" t="s">
        <v>629</v>
      </c>
      <c r="O27" s="118" t="s">
        <v>628</v>
      </c>
    </row>
    <row r="28" spans="2:17" x14ac:dyDescent="0.3">
      <c r="B28">
        <v>11</v>
      </c>
      <c r="C28" s="55">
        <v>42134.041644945086</v>
      </c>
      <c r="D28">
        <v>12</v>
      </c>
      <c r="E28" s="55">
        <v>34000.462509571298</v>
      </c>
      <c r="F28">
        <v>12</v>
      </c>
      <c r="G28" t="s">
        <v>194</v>
      </c>
      <c r="H28" t="s">
        <v>194</v>
      </c>
      <c r="I28" t="s">
        <v>194</v>
      </c>
      <c r="J28" t="s">
        <v>194</v>
      </c>
      <c r="L28" s="32" t="s">
        <v>194</v>
      </c>
      <c r="M28" s="32" t="s">
        <v>194</v>
      </c>
      <c r="N28" s="128">
        <f>SUMIFS($E$18:$E$317,$I$18:$I$317,L28,$J$18:$J$317,M28)</f>
        <v>4433881.2567390697</v>
      </c>
      <c r="O28" s="127">
        <f>SUMIFS($F$18:$F$317,$I$18:$I$317,L28,$J$18:$J$317,M28)</f>
        <v>1671</v>
      </c>
    </row>
    <row r="29" spans="2:17" x14ac:dyDescent="0.3">
      <c r="B29">
        <v>12</v>
      </c>
      <c r="C29" s="55">
        <v>28290.913648453192</v>
      </c>
      <c r="D29">
        <v>12</v>
      </c>
      <c r="E29" s="55">
        <v>28978.531980982218</v>
      </c>
      <c r="F29">
        <v>12</v>
      </c>
      <c r="G29" t="s">
        <v>194</v>
      </c>
      <c r="H29" t="s">
        <v>194</v>
      </c>
      <c r="I29" t="s">
        <v>194</v>
      </c>
      <c r="J29" t="s">
        <v>194</v>
      </c>
      <c r="L29" s="32" t="s">
        <v>194</v>
      </c>
      <c r="M29" s="32" t="s">
        <v>183</v>
      </c>
      <c r="N29" s="128">
        <f>SUMIFS($E$18:$E$317,$I$18:$I$317,L29,$J$18:$J$317,M29)</f>
        <v>1449063.6311583146</v>
      </c>
      <c r="O29" s="127">
        <f>SUMIFS($F$18:$F$317,$I$18:$I$317,L29,$J$18:$J$317,M29)</f>
        <v>405</v>
      </c>
    </row>
    <row r="30" spans="2:17" x14ac:dyDescent="0.3">
      <c r="B30">
        <v>13</v>
      </c>
      <c r="C30" s="55">
        <v>28595.816896741704</v>
      </c>
      <c r="D30">
        <v>12</v>
      </c>
      <c r="E30" s="55">
        <v>30060.142762212443</v>
      </c>
      <c r="F30">
        <v>12</v>
      </c>
      <c r="G30" t="s">
        <v>194</v>
      </c>
      <c r="H30" t="s">
        <v>194</v>
      </c>
      <c r="I30" t="s">
        <v>194</v>
      </c>
      <c r="J30" t="s">
        <v>194</v>
      </c>
      <c r="L30" s="32" t="s">
        <v>183</v>
      </c>
      <c r="M30" s="32" t="s">
        <v>194</v>
      </c>
      <c r="N30" s="128">
        <f>SUMIFS($E$18:$E$317,$I$18:$I$317,L30,$J$18:$J$317,M30)</f>
        <v>1156101.92145677</v>
      </c>
      <c r="O30" s="127">
        <f>SUMIFS($F$18:$F$317,$I$18:$I$317,L30,$J$18:$J$317,M30)</f>
        <v>337</v>
      </c>
    </row>
    <row r="31" spans="2:17" x14ac:dyDescent="0.3">
      <c r="B31">
        <v>14</v>
      </c>
      <c r="C31" s="55">
        <v>40103.973220916989</v>
      </c>
      <c r="D31">
        <v>12</v>
      </c>
      <c r="E31" s="55">
        <v>24216.424908968373</v>
      </c>
      <c r="F31">
        <v>12</v>
      </c>
      <c r="G31" t="s">
        <v>194</v>
      </c>
      <c r="H31" t="s">
        <v>194</v>
      </c>
      <c r="I31" t="s">
        <v>194</v>
      </c>
      <c r="J31" t="s">
        <v>194</v>
      </c>
      <c r="L31" s="35" t="s">
        <v>183</v>
      </c>
      <c r="M31" s="35" t="s">
        <v>183</v>
      </c>
      <c r="N31" s="130">
        <f>SUMIFS($E$18:$E$317,$I$18:$I$317,L31,$J$18:$J$317,M31)</f>
        <v>3211364.6652081213</v>
      </c>
      <c r="O31" s="129">
        <f>SUMIFS($F$18:$F$317,$I$18:$I$317,L31,$J$18:$J$317,M31)</f>
        <v>966</v>
      </c>
    </row>
    <row r="32" spans="2:17" x14ac:dyDescent="0.3">
      <c r="B32">
        <v>15</v>
      </c>
      <c r="C32" s="55">
        <v>22819.084360400448</v>
      </c>
      <c r="D32">
        <v>12</v>
      </c>
      <c r="E32" s="55">
        <v>34005.002696687407</v>
      </c>
      <c r="F32">
        <v>12</v>
      </c>
      <c r="G32" t="s">
        <v>194</v>
      </c>
      <c r="H32" t="s">
        <v>194</v>
      </c>
      <c r="I32" t="s">
        <v>194</v>
      </c>
      <c r="J32" t="s">
        <v>194</v>
      </c>
      <c r="L32" s="32" t="s">
        <v>627</v>
      </c>
      <c r="M32" s="32"/>
      <c r="N32" s="128">
        <f>SUM(N28:N31)</f>
        <v>10250411.474562276</v>
      </c>
      <c r="O32" s="127">
        <f>SUM(O28:O31)</f>
        <v>3379</v>
      </c>
    </row>
    <row r="33" spans="2:10" x14ac:dyDescent="0.3">
      <c r="B33">
        <v>16</v>
      </c>
      <c r="C33" s="55">
        <v>29627.100698326154</v>
      </c>
      <c r="D33">
        <v>12</v>
      </c>
      <c r="E33" s="55">
        <v>39864.574638930892</v>
      </c>
      <c r="F33">
        <v>12</v>
      </c>
      <c r="G33" t="s">
        <v>194</v>
      </c>
      <c r="H33" t="s">
        <v>194</v>
      </c>
      <c r="I33" t="s">
        <v>194</v>
      </c>
      <c r="J33" t="s">
        <v>194</v>
      </c>
    </row>
    <row r="34" spans="2:10" x14ac:dyDescent="0.3">
      <c r="B34">
        <v>17</v>
      </c>
      <c r="C34" s="55">
        <v>29638.424331150105</v>
      </c>
      <c r="D34">
        <v>12</v>
      </c>
      <c r="E34" s="55">
        <v>32378.790361026862</v>
      </c>
      <c r="F34">
        <v>12</v>
      </c>
      <c r="G34" t="s">
        <v>194</v>
      </c>
      <c r="H34" t="s">
        <v>194</v>
      </c>
      <c r="I34" t="s">
        <v>194</v>
      </c>
      <c r="J34" t="s">
        <v>194</v>
      </c>
    </row>
    <row r="35" spans="2:10" x14ac:dyDescent="0.3">
      <c r="B35">
        <v>18</v>
      </c>
      <c r="C35" s="55">
        <v>33381.749024840319</v>
      </c>
      <c r="D35">
        <v>12</v>
      </c>
      <c r="E35" s="55">
        <v>28552.482306013357</v>
      </c>
      <c r="F35">
        <v>12</v>
      </c>
      <c r="G35" t="s">
        <v>194</v>
      </c>
      <c r="H35" t="s">
        <v>194</v>
      </c>
      <c r="I35" t="s">
        <v>194</v>
      </c>
      <c r="J35" t="s">
        <v>194</v>
      </c>
    </row>
    <row r="36" spans="2:10" x14ac:dyDescent="0.3">
      <c r="B36">
        <v>19</v>
      </c>
      <c r="C36" s="55">
        <v>26495.471569553076</v>
      </c>
      <c r="D36">
        <v>12</v>
      </c>
      <c r="E36" s="55">
        <v>31483.826131482776</v>
      </c>
      <c r="F36">
        <v>12</v>
      </c>
      <c r="G36" t="s">
        <v>194</v>
      </c>
      <c r="H36" t="s">
        <v>194</v>
      </c>
      <c r="I36" t="s">
        <v>194</v>
      </c>
      <c r="J36" t="s">
        <v>194</v>
      </c>
    </row>
    <row r="37" spans="2:10" x14ac:dyDescent="0.3">
      <c r="B37">
        <v>20</v>
      </c>
      <c r="C37" s="55">
        <v>34525.49836963656</v>
      </c>
      <c r="D37">
        <v>12</v>
      </c>
      <c r="E37" s="55">
        <v>18764.059950831688</v>
      </c>
      <c r="F37">
        <v>12</v>
      </c>
      <c r="G37" t="s">
        <v>194</v>
      </c>
      <c r="H37" t="s">
        <v>194</v>
      </c>
      <c r="I37" t="s">
        <v>194</v>
      </c>
      <c r="J37" t="s">
        <v>194</v>
      </c>
    </row>
    <row r="38" spans="2:10" x14ac:dyDescent="0.3">
      <c r="B38">
        <v>21</v>
      </c>
      <c r="C38" s="55">
        <v>28503.462785446485</v>
      </c>
      <c r="D38">
        <v>12</v>
      </c>
      <c r="E38" s="55">
        <v>31403.170069202024</v>
      </c>
      <c r="F38">
        <v>12</v>
      </c>
      <c r="G38" t="s">
        <v>194</v>
      </c>
      <c r="H38" t="s">
        <v>194</v>
      </c>
      <c r="I38" t="s">
        <v>194</v>
      </c>
      <c r="J38" t="s">
        <v>194</v>
      </c>
    </row>
    <row r="39" spans="2:10" x14ac:dyDescent="0.3">
      <c r="B39">
        <v>22</v>
      </c>
      <c r="C39" s="55">
        <v>25238.806972885861</v>
      </c>
      <c r="D39">
        <v>12</v>
      </c>
      <c r="E39" s="55">
        <v>15808.087851913575</v>
      </c>
      <c r="F39">
        <v>12</v>
      </c>
      <c r="G39" t="s">
        <v>194</v>
      </c>
      <c r="H39" t="s">
        <v>194</v>
      </c>
      <c r="I39" t="s">
        <v>194</v>
      </c>
      <c r="J39" t="s">
        <v>194</v>
      </c>
    </row>
    <row r="40" spans="2:10" x14ac:dyDescent="0.3">
      <c r="B40">
        <v>23</v>
      </c>
      <c r="C40" s="55">
        <v>35033.204072946814</v>
      </c>
      <c r="D40">
        <v>12</v>
      </c>
      <c r="E40" s="55">
        <v>30673.360951007344</v>
      </c>
      <c r="F40">
        <v>12</v>
      </c>
      <c r="G40" t="s">
        <v>194</v>
      </c>
      <c r="H40" t="s">
        <v>194</v>
      </c>
      <c r="I40" t="s">
        <v>194</v>
      </c>
      <c r="J40" t="s">
        <v>194</v>
      </c>
    </row>
    <row r="41" spans="2:10" x14ac:dyDescent="0.3">
      <c r="B41">
        <v>24</v>
      </c>
      <c r="C41" s="55">
        <v>25626.436112110241</v>
      </c>
      <c r="D41">
        <v>12</v>
      </c>
      <c r="E41" s="55">
        <v>42296.555378150551</v>
      </c>
      <c r="F41">
        <v>12</v>
      </c>
      <c r="G41" t="s">
        <v>194</v>
      </c>
      <c r="H41" t="s">
        <v>194</v>
      </c>
      <c r="I41" t="s">
        <v>194</v>
      </c>
      <c r="J41" t="s">
        <v>194</v>
      </c>
    </row>
    <row r="42" spans="2:10" x14ac:dyDescent="0.3">
      <c r="B42">
        <v>25</v>
      </c>
      <c r="C42" s="55">
        <v>16669.322259211032</v>
      </c>
      <c r="D42">
        <v>12</v>
      </c>
      <c r="E42" s="55">
        <v>35923.285797621924</v>
      </c>
      <c r="F42">
        <v>12</v>
      </c>
      <c r="G42" t="s">
        <v>194</v>
      </c>
      <c r="H42" t="s">
        <v>194</v>
      </c>
      <c r="I42" t="s">
        <v>194</v>
      </c>
      <c r="J42" t="s">
        <v>194</v>
      </c>
    </row>
    <row r="43" spans="2:10" x14ac:dyDescent="0.3">
      <c r="B43">
        <v>26</v>
      </c>
      <c r="C43" s="55">
        <v>19636.413055177196</v>
      </c>
      <c r="D43">
        <v>12</v>
      </c>
      <c r="E43" s="55">
        <v>34598.6018922937</v>
      </c>
      <c r="F43">
        <v>12</v>
      </c>
      <c r="G43" t="s">
        <v>194</v>
      </c>
      <c r="H43" t="s">
        <v>194</v>
      </c>
      <c r="I43" t="s">
        <v>194</v>
      </c>
      <c r="J43" t="s">
        <v>194</v>
      </c>
    </row>
    <row r="44" spans="2:10" x14ac:dyDescent="0.3">
      <c r="B44">
        <v>27</v>
      </c>
      <c r="C44" s="55">
        <v>27527.409354191517</v>
      </c>
      <c r="D44">
        <v>12</v>
      </c>
      <c r="E44" s="55">
        <v>25535.273851169077</v>
      </c>
      <c r="F44">
        <v>12</v>
      </c>
      <c r="G44" t="s">
        <v>194</v>
      </c>
      <c r="H44" t="s">
        <v>194</v>
      </c>
      <c r="I44" t="s">
        <v>194</v>
      </c>
      <c r="J44" t="s">
        <v>194</v>
      </c>
    </row>
    <row r="45" spans="2:10" x14ac:dyDescent="0.3">
      <c r="B45">
        <v>28</v>
      </c>
      <c r="C45" s="55">
        <v>31549.447629357983</v>
      </c>
      <c r="D45">
        <v>12</v>
      </c>
      <c r="E45" s="55">
        <v>27230.261197986227</v>
      </c>
      <c r="F45">
        <v>12</v>
      </c>
      <c r="G45" t="s">
        <v>194</v>
      </c>
      <c r="H45" t="s">
        <v>194</v>
      </c>
      <c r="I45" t="s">
        <v>194</v>
      </c>
      <c r="J45" t="s">
        <v>194</v>
      </c>
    </row>
    <row r="46" spans="2:10" x14ac:dyDescent="0.3">
      <c r="B46">
        <v>29</v>
      </c>
      <c r="C46" s="55">
        <v>32205.810433571274</v>
      </c>
      <c r="D46">
        <v>12</v>
      </c>
      <c r="E46" s="55">
        <v>26776.52569740589</v>
      </c>
      <c r="F46">
        <v>12</v>
      </c>
      <c r="G46" t="s">
        <v>194</v>
      </c>
      <c r="H46" t="s">
        <v>194</v>
      </c>
      <c r="I46" t="s">
        <v>194</v>
      </c>
      <c r="J46" t="s">
        <v>194</v>
      </c>
    </row>
    <row r="47" spans="2:10" x14ac:dyDescent="0.3">
      <c r="B47">
        <v>30</v>
      </c>
      <c r="C47" s="55">
        <v>17033.844121752194</v>
      </c>
      <c r="D47">
        <v>12</v>
      </c>
      <c r="E47" s="55">
        <v>32269.108330711417</v>
      </c>
      <c r="F47">
        <v>12</v>
      </c>
      <c r="G47" t="s">
        <v>194</v>
      </c>
      <c r="H47" t="s">
        <v>194</v>
      </c>
      <c r="I47" t="s">
        <v>194</v>
      </c>
      <c r="J47" t="s">
        <v>194</v>
      </c>
    </row>
    <row r="48" spans="2:10" x14ac:dyDescent="0.3">
      <c r="B48">
        <v>31</v>
      </c>
      <c r="C48" s="55">
        <v>23881.759761680689</v>
      </c>
      <c r="D48">
        <v>12</v>
      </c>
      <c r="E48" s="55">
        <v>21628.489986099521</v>
      </c>
      <c r="F48">
        <v>12</v>
      </c>
      <c r="G48" t="s">
        <v>194</v>
      </c>
      <c r="H48" t="s">
        <v>194</v>
      </c>
      <c r="I48" t="s">
        <v>194</v>
      </c>
      <c r="J48" t="s">
        <v>194</v>
      </c>
    </row>
    <row r="49" spans="2:10" x14ac:dyDescent="0.3">
      <c r="B49">
        <v>32</v>
      </c>
      <c r="C49" s="55">
        <v>28398.700073011321</v>
      </c>
      <c r="D49">
        <v>12</v>
      </c>
      <c r="E49" s="55">
        <v>32368.208584331252</v>
      </c>
      <c r="F49">
        <v>12</v>
      </c>
      <c r="G49" t="s">
        <v>194</v>
      </c>
      <c r="H49" t="s">
        <v>194</v>
      </c>
      <c r="I49" t="s">
        <v>194</v>
      </c>
      <c r="J49" t="s">
        <v>194</v>
      </c>
    </row>
    <row r="50" spans="2:10" x14ac:dyDescent="0.3">
      <c r="B50">
        <v>33</v>
      </c>
      <c r="C50" s="55">
        <v>35339.327014596551</v>
      </c>
      <c r="D50">
        <v>12</v>
      </c>
      <c r="E50" s="55">
        <v>35784.426058376725</v>
      </c>
      <c r="F50">
        <v>12</v>
      </c>
      <c r="G50" t="s">
        <v>194</v>
      </c>
      <c r="H50" t="s">
        <v>194</v>
      </c>
      <c r="I50" t="s">
        <v>194</v>
      </c>
      <c r="J50" t="s">
        <v>194</v>
      </c>
    </row>
    <row r="51" spans="2:10" x14ac:dyDescent="0.3">
      <c r="B51">
        <v>34</v>
      </c>
      <c r="C51" s="55">
        <v>32960.832288570942</v>
      </c>
      <c r="D51">
        <v>12</v>
      </c>
      <c r="E51" s="55">
        <v>32430.646106959732</v>
      </c>
      <c r="F51">
        <v>12</v>
      </c>
      <c r="G51" t="s">
        <v>194</v>
      </c>
      <c r="H51" t="s">
        <v>194</v>
      </c>
      <c r="I51" t="s">
        <v>194</v>
      </c>
      <c r="J51" t="s">
        <v>194</v>
      </c>
    </row>
    <row r="52" spans="2:10" x14ac:dyDescent="0.3">
      <c r="B52">
        <v>35</v>
      </c>
      <c r="C52" s="55">
        <v>36533.822396319345</v>
      </c>
      <c r="D52">
        <v>12</v>
      </c>
      <c r="E52" s="55">
        <v>36182.605695590428</v>
      </c>
      <c r="F52">
        <v>12</v>
      </c>
      <c r="G52" t="s">
        <v>194</v>
      </c>
      <c r="H52" t="s">
        <v>194</v>
      </c>
      <c r="I52" t="s">
        <v>194</v>
      </c>
      <c r="J52" t="s">
        <v>194</v>
      </c>
    </row>
    <row r="53" spans="2:10" x14ac:dyDescent="0.3">
      <c r="B53">
        <v>36</v>
      </c>
      <c r="C53" s="55">
        <v>36362.728024470358</v>
      </c>
      <c r="D53">
        <v>12</v>
      </c>
      <c r="E53" s="55">
        <v>26533.266319672752</v>
      </c>
      <c r="F53">
        <v>12</v>
      </c>
      <c r="G53" t="s">
        <v>194</v>
      </c>
      <c r="H53" t="s">
        <v>194</v>
      </c>
      <c r="I53" t="s">
        <v>194</v>
      </c>
      <c r="J53" t="s">
        <v>194</v>
      </c>
    </row>
    <row r="54" spans="2:10" x14ac:dyDescent="0.3">
      <c r="B54">
        <v>37</v>
      </c>
      <c r="C54" s="55">
        <v>29850.863483861736</v>
      </c>
      <c r="D54">
        <v>12</v>
      </c>
      <c r="E54" s="55">
        <v>20274.844868587905</v>
      </c>
      <c r="F54">
        <v>12</v>
      </c>
      <c r="G54" t="s">
        <v>194</v>
      </c>
      <c r="H54" t="s">
        <v>194</v>
      </c>
      <c r="I54" t="s">
        <v>194</v>
      </c>
      <c r="J54" t="s">
        <v>194</v>
      </c>
    </row>
    <row r="55" spans="2:10" x14ac:dyDescent="0.3">
      <c r="B55">
        <v>38</v>
      </c>
      <c r="C55" s="55">
        <v>27607.23158554202</v>
      </c>
      <c r="D55">
        <v>12</v>
      </c>
      <c r="E55" s="55">
        <v>27187.209609955564</v>
      </c>
      <c r="F55">
        <v>12</v>
      </c>
      <c r="G55" t="s">
        <v>194</v>
      </c>
      <c r="H55" t="s">
        <v>194</v>
      </c>
      <c r="I55" t="s">
        <v>194</v>
      </c>
      <c r="J55" t="s">
        <v>194</v>
      </c>
    </row>
    <row r="56" spans="2:10" x14ac:dyDescent="0.3">
      <c r="B56">
        <v>39</v>
      </c>
      <c r="C56" s="55">
        <v>23756.72851455017</v>
      </c>
      <c r="D56">
        <v>12</v>
      </c>
      <c r="E56" s="55">
        <v>36545.765371783098</v>
      </c>
      <c r="F56">
        <v>12</v>
      </c>
      <c r="G56" t="s">
        <v>194</v>
      </c>
      <c r="H56" t="s">
        <v>194</v>
      </c>
      <c r="I56" t="s">
        <v>194</v>
      </c>
      <c r="J56" t="s">
        <v>194</v>
      </c>
    </row>
    <row r="57" spans="2:10" x14ac:dyDescent="0.3">
      <c r="B57">
        <v>40</v>
      </c>
      <c r="C57" s="55">
        <v>27848.364800219806</v>
      </c>
      <c r="D57">
        <v>12</v>
      </c>
      <c r="E57" s="55">
        <v>36633.307364836764</v>
      </c>
      <c r="F57">
        <v>12</v>
      </c>
      <c r="G57" t="s">
        <v>194</v>
      </c>
      <c r="H57" t="s">
        <v>194</v>
      </c>
      <c r="I57" t="s">
        <v>194</v>
      </c>
      <c r="J57" t="s">
        <v>194</v>
      </c>
    </row>
    <row r="58" spans="2:10" x14ac:dyDescent="0.3">
      <c r="B58">
        <v>41</v>
      </c>
      <c r="C58" s="55">
        <v>26679.777917010899</v>
      </c>
      <c r="D58">
        <v>12</v>
      </c>
      <c r="E58" s="55">
        <v>39573.10103394054</v>
      </c>
      <c r="F58">
        <v>12</v>
      </c>
      <c r="G58" t="s">
        <v>194</v>
      </c>
      <c r="H58" t="s">
        <v>194</v>
      </c>
      <c r="I58" t="s">
        <v>194</v>
      </c>
      <c r="J58" t="s">
        <v>194</v>
      </c>
    </row>
    <row r="59" spans="2:10" x14ac:dyDescent="0.3">
      <c r="B59">
        <v>42</v>
      </c>
      <c r="C59" s="55">
        <v>27621.87784402063</v>
      </c>
      <c r="D59">
        <v>12</v>
      </c>
      <c r="E59" s="55">
        <v>35199.775564764845</v>
      </c>
      <c r="F59">
        <v>12</v>
      </c>
      <c r="G59" t="s">
        <v>194</v>
      </c>
      <c r="H59" t="s">
        <v>194</v>
      </c>
      <c r="I59" t="s">
        <v>194</v>
      </c>
      <c r="J59" t="s">
        <v>194</v>
      </c>
    </row>
    <row r="60" spans="2:10" x14ac:dyDescent="0.3">
      <c r="B60">
        <v>43</v>
      </c>
      <c r="C60" s="55">
        <v>20890.762519104508</v>
      </c>
      <c r="D60">
        <v>12</v>
      </c>
      <c r="E60" s="55">
        <v>33621.355543287333</v>
      </c>
      <c r="F60">
        <v>12</v>
      </c>
      <c r="G60" t="s">
        <v>194</v>
      </c>
      <c r="H60" t="s">
        <v>194</v>
      </c>
      <c r="I60" t="s">
        <v>194</v>
      </c>
      <c r="J60" t="s">
        <v>194</v>
      </c>
    </row>
    <row r="61" spans="2:10" x14ac:dyDescent="0.3">
      <c r="B61">
        <v>44</v>
      </c>
      <c r="C61" s="55">
        <v>21361.735311668774</v>
      </c>
      <c r="D61">
        <v>12</v>
      </c>
      <c r="E61" s="55">
        <v>26825.144590618595</v>
      </c>
      <c r="F61">
        <v>12</v>
      </c>
      <c r="G61" t="s">
        <v>194</v>
      </c>
      <c r="H61" t="s">
        <v>194</v>
      </c>
      <c r="I61" t="s">
        <v>194</v>
      </c>
      <c r="J61" t="s">
        <v>194</v>
      </c>
    </row>
    <row r="62" spans="2:10" x14ac:dyDescent="0.3">
      <c r="B62">
        <v>45</v>
      </c>
      <c r="C62" s="55">
        <v>22829.07314948209</v>
      </c>
      <c r="D62">
        <v>12</v>
      </c>
      <c r="E62" s="55">
        <v>34611.909663278842</v>
      </c>
      <c r="F62">
        <v>12</v>
      </c>
      <c r="G62" t="s">
        <v>194</v>
      </c>
      <c r="H62" t="s">
        <v>194</v>
      </c>
      <c r="I62" t="s">
        <v>194</v>
      </c>
      <c r="J62" t="s">
        <v>194</v>
      </c>
    </row>
    <row r="63" spans="2:10" x14ac:dyDescent="0.3">
      <c r="B63">
        <v>46</v>
      </c>
      <c r="C63" s="55">
        <v>14031.645124534058</v>
      </c>
      <c r="D63">
        <v>12</v>
      </c>
      <c r="E63" s="55">
        <v>33958.760935037062</v>
      </c>
      <c r="F63">
        <v>12</v>
      </c>
      <c r="G63" t="s">
        <v>194</v>
      </c>
      <c r="H63" t="s">
        <v>194</v>
      </c>
      <c r="I63" t="s">
        <v>194</v>
      </c>
      <c r="J63" t="s">
        <v>194</v>
      </c>
    </row>
    <row r="64" spans="2:10" x14ac:dyDescent="0.3">
      <c r="B64">
        <v>47</v>
      </c>
      <c r="C64" s="55">
        <v>30217.887012241961</v>
      </c>
      <c r="D64">
        <v>12</v>
      </c>
      <c r="E64" s="55">
        <v>20641.777230976295</v>
      </c>
      <c r="F64">
        <v>12</v>
      </c>
      <c r="G64" t="s">
        <v>194</v>
      </c>
      <c r="H64" t="s">
        <v>194</v>
      </c>
      <c r="I64" t="s">
        <v>194</v>
      </c>
      <c r="J64" t="s">
        <v>194</v>
      </c>
    </row>
    <row r="65" spans="2:10" x14ac:dyDescent="0.3">
      <c r="B65">
        <v>48</v>
      </c>
      <c r="C65" s="55">
        <v>27146.625446763268</v>
      </c>
      <c r="D65">
        <v>12</v>
      </c>
      <c r="E65" s="55">
        <v>26051.395058303162</v>
      </c>
      <c r="F65">
        <v>12</v>
      </c>
      <c r="G65" t="s">
        <v>194</v>
      </c>
      <c r="H65" t="s">
        <v>194</v>
      </c>
      <c r="I65" t="s">
        <v>194</v>
      </c>
      <c r="J65" t="s">
        <v>194</v>
      </c>
    </row>
    <row r="66" spans="2:10" x14ac:dyDescent="0.3">
      <c r="B66">
        <v>49</v>
      </c>
      <c r="C66" s="55">
        <v>26176.308255573444</v>
      </c>
      <c r="D66">
        <v>12</v>
      </c>
      <c r="E66" s="55">
        <v>34302.513030500639</v>
      </c>
      <c r="F66">
        <v>12</v>
      </c>
      <c r="G66" t="s">
        <v>194</v>
      </c>
      <c r="H66" t="s">
        <v>194</v>
      </c>
      <c r="I66" t="s">
        <v>194</v>
      </c>
      <c r="J66" t="s">
        <v>194</v>
      </c>
    </row>
    <row r="67" spans="2:10" x14ac:dyDescent="0.3">
      <c r="B67">
        <v>50</v>
      </c>
      <c r="C67" s="55">
        <v>26394.471961747768</v>
      </c>
      <c r="D67">
        <v>12</v>
      </c>
      <c r="E67" s="55">
        <v>32657.020957024586</v>
      </c>
      <c r="F67">
        <v>12</v>
      </c>
      <c r="G67" t="s">
        <v>194</v>
      </c>
      <c r="H67" t="s">
        <v>194</v>
      </c>
      <c r="I67" t="s">
        <v>194</v>
      </c>
      <c r="J67" t="s">
        <v>194</v>
      </c>
    </row>
    <row r="68" spans="2:10" x14ac:dyDescent="0.3">
      <c r="B68">
        <v>51</v>
      </c>
      <c r="C68" s="55">
        <v>33826.408859246716</v>
      </c>
      <c r="D68">
        <v>12</v>
      </c>
      <c r="E68" s="55">
        <v>37925.480533743961</v>
      </c>
      <c r="F68">
        <v>12</v>
      </c>
      <c r="G68" t="s">
        <v>194</v>
      </c>
      <c r="H68" t="s">
        <v>194</v>
      </c>
      <c r="I68" t="s">
        <v>194</v>
      </c>
      <c r="J68" t="s">
        <v>194</v>
      </c>
    </row>
    <row r="69" spans="2:10" x14ac:dyDescent="0.3">
      <c r="B69">
        <v>52</v>
      </c>
      <c r="C69" s="55">
        <v>31598.885920975001</v>
      </c>
      <c r="D69">
        <v>12</v>
      </c>
      <c r="E69" s="55">
        <v>36588.190557234971</v>
      </c>
      <c r="F69">
        <v>12</v>
      </c>
      <c r="G69" t="s">
        <v>194</v>
      </c>
      <c r="H69" t="s">
        <v>194</v>
      </c>
      <c r="I69" t="s">
        <v>194</v>
      </c>
      <c r="J69" t="s">
        <v>194</v>
      </c>
    </row>
    <row r="70" spans="2:10" x14ac:dyDescent="0.3">
      <c r="B70">
        <v>53</v>
      </c>
      <c r="C70" s="55">
        <v>29609.012227060637</v>
      </c>
      <c r="D70">
        <v>12</v>
      </c>
      <c r="E70" s="55">
        <v>29094.490267685789</v>
      </c>
      <c r="F70">
        <v>12</v>
      </c>
      <c r="G70" t="s">
        <v>194</v>
      </c>
      <c r="H70" t="s">
        <v>194</v>
      </c>
      <c r="I70" t="s">
        <v>194</v>
      </c>
      <c r="J70" t="s">
        <v>194</v>
      </c>
    </row>
    <row r="71" spans="2:10" x14ac:dyDescent="0.3">
      <c r="B71">
        <v>54</v>
      </c>
      <c r="C71" s="55">
        <v>29555.312872159902</v>
      </c>
      <c r="D71">
        <v>12</v>
      </c>
      <c r="E71" s="55">
        <v>37946.092171396034</v>
      </c>
      <c r="F71">
        <v>12</v>
      </c>
      <c r="G71" t="s">
        <v>194</v>
      </c>
      <c r="H71" t="s">
        <v>194</v>
      </c>
      <c r="I71" t="s">
        <v>194</v>
      </c>
      <c r="J71" t="s">
        <v>194</v>
      </c>
    </row>
    <row r="72" spans="2:10" x14ac:dyDescent="0.3">
      <c r="B72">
        <v>55</v>
      </c>
      <c r="C72" s="55">
        <v>34915.923895970089</v>
      </c>
      <c r="D72">
        <v>12</v>
      </c>
      <c r="E72" s="55">
        <v>20611.93055596159</v>
      </c>
      <c r="F72">
        <v>12</v>
      </c>
      <c r="G72" t="s">
        <v>194</v>
      </c>
      <c r="H72" t="s">
        <v>194</v>
      </c>
      <c r="I72" t="s">
        <v>194</v>
      </c>
      <c r="J72" t="s">
        <v>194</v>
      </c>
    </row>
    <row r="73" spans="2:10" x14ac:dyDescent="0.3">
      <c r="B73">
        <v>56</v>
      </c>
      <c r="C73" s="55">
        <v>24371.734202432261</v>
      </c>
      <c r="D73">
        <v>12</v>
      </c>
      <c r="E73" s="55">
        <v>38290.607951194128</v>
      </c>
      <c r="F73">
        <v>12</v>
      </c>
      <c r="G73" t="s">
        <v>194</v>
      </c>
      <c r="H73" t="s">
        <v>194</v>
      </c>
      <c r="I73" t="s">
        <v>194</v>
      </c>
      <c r="J73" t="s">
        <v>194</v>
      </c>
    </row>
    <row r="74" spans="2:10" x14ac:dyDescent="0.3">
      <c r="B74">
        <v>57</v>
      </c>
      <c r="C74" s="55">
        <v>24964.471646504484</v>
      </c>
      <c r="D74">
        <v>12</v>
      </c>
      <c r="E74" s="55">
        <v>41805.526215030302</v>
      </c>
      <c r="F74">
        <v>12</v>
      </c>
      <c r="G74" t="s">
        <v>194</v>
      </c>
      <c r="H74" t="s">
        <v>194</v>
      </c>
      <c r="I74" t="s">
        <v>194</v>
      </c>
      <c r="J74" t="s">
        <v>194</v>
      </c>
    </row>
    <row r="75" spans="2:10" x14ac:dyDescent="0.3">
      <c r="B75">
        <v>58</v>
      </c>
      <c r="C75" s="55">
        <v>29989.416489639792</v>
      </c>
      <c r="D75">
        <v>12</v>
      </c>
      <c r="E75" s="55">
        <v>38734.361964888049</v>
      </c>
      <c r="F75">
        <v>12</v>
      </c>
      <c r="G75" t="s">
        <v>194</v>
      </c>
      <c r="H75" t="s">
        <v>194</v>
      </c>
      <c r="I75" t="s">
        <v>194</v>
      </c>
      <c r="J75" t="s">
        <v>194</v>
      </c>
    </row>
    <row r="76" spans="2:10" x14ac:dyDescent="0.3">
      <c r="B76">
        <v>59</v>
      </c>
      <c r="C76" s="55">
        <v>31528.440143114822</v>
      </c>
      <c r="D76">
        <v>12</v>
      </c>
      <c r="E76" s="55">
        <v>40442.083888406611</v>
      </c>
      <c r="F76">
        <v>12</v>
      </c>
      <c r="G76" t="s">
        <v>194</v>
      </c>
      <c r="H76" t="s">
        <v>194</v>
      </c>
      <c r="I76" t="s">
        <v>194</v>
      </c>
      <c r="J76" t="s">
        <v>194</v>
      </c>
    </row>
    <row r="77" spans="2:10" x14ac:dyDescent="0.3">
      <c r="B77">
        <v>60</v>
      </c>
      <c r="C77" s="55">
        <v>38147.878518784346</v>
      </c>
      <c r="D77">
        <v>12</v>
      </c>
      <c r="E77" s="55">
        <v>34659.667165869461</v>
      </c>
      <c r="F77">
        <v>12</v>
      </c>
      <c r="G77" t="s">
        <v>194</v>
      </c>
      <c r="H77" t="s">
        <v>194</v>
      </c>
      <c r="I77" t="s">
        <v>194</v>
      </c>
      <c r="J77" t="s">
        <v>194</v>
      </c>
    </row>
    <row r="78" spans="2:10" x14ac:dyDescent="0.3">
      <c r="B78">
        <v>61</v>
      </c>
      <c r="C78" s="55">
        <v>18719.556499107821</v>
      </c>
      <c r="D78">
        <v>12</v>
      </c>
      <c r="E78" s="55">
        <v>25835.551695539467</v>
      </c>
      <c r="F78">
        <v>12</v>
      </c>
      <c r="G78" t="s">
        <v>194</v>
      </c>
      <c r="H78" t="s">
        <v>194</v>
      </c>
      <c r="I78" t="s">
        <v>194</v>
      </c>
      <c r="J78" t="s">
        <v>194</v>
      </c>
    </row>
    <row r="79" spans="2:10" x14ac:dyDescent="0.3">
      <c r="B79">
        <v>62</v>
      </c>
      <c r="C79" s="55">
        <v>23707.583556322759</v>
      </c>
      <c r="D79">
        <v>12</v>
      </c>
      <c r="E79" s="55">
        <v>31061.639727014295</v>
      </c>
      <c r="F79">
        <v>12</v>
      </c>
      <c r="G79" t="s">
        <v>194</v>
      </c>
      <c r="H79" t="s">
        <v>194</v>
      </c>
      <c r="I79" t="s">
        <v>194</v>
      </c>
      <c r="J79" t="s">
        <v>194</v>
      </c>
    </row>
    <row r="80" spans="2:10" x14ac:dyDescent="0.3">
      <c r="B80">
        <v>63</v>
      </c>
      <c r="C80" s="55">
        <v>33490.085369233537</v>
      </c>
      <c r="D80">
        <v>12</v>
      </c>
      <c r="E80" s="55">
        <v>30001.091421263875</v>
      </c>
      <c r="F80">
        <v>12</v>
      </c>
      <c r="G80" t="s">
        <v>194</v>
      </c>
      <c r="H80" t="s">
        <v>194</v>
      </c>
      <c r="I80" t="s">
        <v>194</v>
      </c>
      <c r="J80" t="s">
        <v>194</v>
      </c>
    </row>
    <row r="81" spans="2:10" x14ac:dyDescent="0.3">
      <c r="B81">
        <v>64</v>
      </c>
      <c r="C81" s="55">
        <v>32113.517347308178</v>
      </c>
      <c r="D81">
        <v>12</v>
      </c>
      <c r="E81" s="55">
        <v>36586.08174102255</v>
      </c>
      <c r="F81">
        <v>12</v>
      </c>
      <c r="G81" t="s">
        <v>194</v>
      </c>
      <c r="H81" t="s">
        <v>194</v>
      </c>
      <c r="I81" t="s">
        <v>194</v>
      </c>
      <c r="J81" t="s">
        <v>194</v>
      </c>
    </row>
    <row r="82" spans="2:10" x14ac:dyDescent="0.3">
      <c r="B82">
        <v>65</v>
      </c>
      <c r="C82" s="55">
        <v>21943.520249525653</v>
      </c>
      <c r="D82">
        <v>12</v>
      </c>
      <c r="E82" s="55">
        <v>26169.836245612623</v>
      </c>
      <c r="F82">
        <v>12</v>
      </c>
      <c r="G82" t="s">
        <v>194</v>
      </c>
      <c r="H82" t="s">
        <v>194</v>
      </c>
      <c r="I82" t="s">
        <v>194</v>
      </c>
      <c r="J82" t="s">
        <v>194</v>
      </c>
    </row>
    <row r="83" spans="2:10" x14ac:dyDescent="0.3">
      <c r="B83">
        <v>66</v>
      </c>
      <c r="C83" s="55">
        <v>33418.469336127731</v>
      </c>
      <c r="D83">
        <v>12</v>
      </c>
      <c r="E83" s="55">
        <v>30748.12483400268</v>
      </c>
      <c r="F83">
        <v>12</v>
      </c>
      <c r="G83" t="s">
        <v>194</v>
      </c>
      <c r="H83" t="s">
        <v>194</v>
      </c>
      <c r="I83" t="s">
        <v>194</v>
      </c>
      <c r="J83" t="s">
        <v>194</v>
      </c>
    </row>
    <row r="84" spans="2:10" x14ac:dyDescent="0.3">
      <c r="B84">
        <v>67</v>
      </c>
      <c r="C84" s="55">
        <v>32892.979345864558</v>
      </c>
      <c r="D84">
        <v>12</v>
      </c>
      <c r="E84" s="55">
        <v>28251.17100225122</v>
      </c>
      <c r="F84">
        <v>12</v>
      </c>
      <c r="G84" t="s">
        <v>194</v>
      </c>
      <c r="H84" t="s">
        <v>194</v>
      </c>
      <c r="I84" t="s">
        <v>194</v>
      </c>
      <c r="J84" t="s">
        <v>194</v>
      </c>
    </row>
    <row r="85" spans="2:10" x14ac:dyDescent="0.3">
      <c r="B85">
        <v>68</v>
      </c>
      <c r="C85" s="55">
        <v>31984.736315518508</v>
      </c>
      <c r="D85">
        <v>12</v>
      </c>
      <c r="E85" s="55">
        <v>35597.242101126263</v>
      </c>
      <c r="F85">
        <v>12</v>
      </c>
      <c r="G85" t="s">
        <v>194</v>
      </c>
      <c r="H85" t="s">
        <v>194</v>
      </c>
      <c r="I85" t="s">
        <v>194</v>
      </c>
      <c r="J85" t="s">
        <v>194</v>
      </c>
    </row>
    <row r="86" spans="2:10" x14ac:dyDescent="0.3">
      <c r="B86">
        <v>69</v>
      </c>
      <c r="C86" s="55">
        <v>44708.303756986279</v>
      </c>
      <c r="D86">
        <v>12</v>
      </c>
      <c r="E86" s="55">
        <v>42711.860289550605</v>
      </c>
      <c r="F86">
        <v>12</v>
      </c>
      <c r="G86" t="s">
        <v>194</v>
      </c>
      <c r="H86" t="s">
        <v>194</v>
      </c>
      <c r="I86" t="s">
        <v>194</v>
      </c>
      <c r="J86" t="s">
        <v>194</v>
      </c>
    </row>
    <row r="87" spans="2:10" x14ac:dyDescent="0.3">
      <c r="B87">
        <v>70</v>
      </c>
      <c r="C87" s="55">
        <v>28545.122185611915</v>
      </c>
      <c r="D87">
        <v>12</v>
      </c>
      <c r="E87" s="55">
        <v>29009.316838893985</v>
      </c>
      <c r="F87">
        <v>12</v>
      </c>
      <c r="G87" t="s">
        <v>194</v>
      </c>
      <c r="H87" t="s">
        <v>194</v>
      </c>
      <c r="I87" t="s">
        <v>194</v>
      </c>
      <c r="J87" t="s">
        <v>194</v>
      </c>
    </row>
    <row r="88" spans="2:10" x14ac:dyDescent="0.3">
      <c r="B88">
        <v>71</v>
      </c>
      <c r="C88" s="55">
        <v>29585.347349385083</v>
      </c>
      <c r="D88">
        <v>12</v>
      </c>
      <c r="E88" s="55">
        <v>22681.177262430068</v>
      </c>
      <c r="F88">
        <v>12</v>
      </c>
      <c r="G88" t="s">
        <v>194</v>
      </c>
      <c r="H88" t="s">
        <v>194</v>
      </c>
      <c r="I88" t="s">
        <v>194</v>
      </c>
      <c r="J88" t="s">
        <v>194</v>
      </c>
    </row>
    <row r="89" spans="2:10" x14ac:dyDescent="0.3">
      <c r="B89">
        <v>72</v>
      </c>
      <c r="C89" s="55">
        <v>21322.249105947441</v>
      </c>
      <c r="D89">
        <v>12</v>
      </c>
      <c r="E89" s="55">
        <v>33379.313307478602</v>
      </c>
      <c r="F89">
        <v>12</v>
      </c>
      <c r="G89" t="s">
        <v>194</v>
      </c>
      <c r="H89" t="s">
        <v>194</v>
      </c>
      <c r="I89" t="s">
        <v>194</v>
      </c>
      <c r="J89" t="s">
        <v>194</v>
      </c>
    </row>
    <row r="90" spans="2:10" x14ac:dyDescent="0.3">
      <c r="B90">
        <v>73</v>
      </c>
      <c r="C90" s="55">
        <v>26294.088845158345</v>
      </c>
      <c r="D90">
        <v>12</v>
      </c>
      <c r="E90" s="55">
        <v>38266.542997063108</v>
      </c>
      <c r="F90">
        <v>12</v>
      </c>
      <c r="G90" t="s">
        <v>194</v>
      </c>
      <c r="H90" t="s">
        <v>194</v>
      </c>
      <c r="I90" t="s">
        <v>194</v>
      </c>
      <c r="J90" t="s">
        <v>194</v>
      </c>
    </row>
    <row r="91" spans="2:10" x14ac:dyDescent="0.3">
      <c r="B91">
        <v>74</v>
      </c>
      <c r="C91" s="55">
        <v>21052.781426476402</v>
      </c>
      <c r="D91">
        <v>12</v>
      </c>
      <c r="E91" s="55">
        <v>30599.546913796585</v>
      </c>
      <c r="F91">
        <v>12</v>
      </c>
      <c r="G91" t="s">
        <v>194</v>
      </c>
      <c r="H91" t="s">
        <v>194</v>
      </c>
      <c r="I91" t="s">
        <v>194</v>
      </c>
      <c r="J91" t="s">
        <v>194</v>
      </c>
    </row>
    <row r="92" spans="2:10" x14ac:dyDescent="0.3">
      <c r="B92">
        <v>75</v>
      </c>
      <c r="C92" s="55">
        <v>35769.762869904233</v>
      </c>
      <c r="D92">
        <v>12</v>
      </c>
      <c r="E92" s="55">
        <v>25103.492385356301</v>
      </c>
      <c r="F92">
        <v>12</v>
      </c>
      <c r="G92" t="s">
        <v>194</v>
      </c>
      <c r="H92" t="s">
        <v>194</v>
      </c>
      <c r="I92" t="s">
        <v>194</v>
      </c>
      <c r="J92" t="s">
        <v>194</v>
      </c>
    </row>
    <row r="93" spans="2:10" x14ac:dyDescent="0.3">
      <c r="B93">
        <v>76</v>
      </c>
      <c r="C93" s="55">
        <v>32583.426440152976</v>
      </c>
      <c r="D93">
        <v>12</v>
      </c>
      <c r="E93" s="55">
        <v>33962.383065769267</v>
      </c>
      <c r="F93">
        <v>11</v>
      </c>
      <c r="G93" t="s">
        <v>194</v>
      </c>
      <c r="H93" t="s">
        <v>194</v>
      </c>
      <c r="I93" t="s">
        <v>194</v>
      </c>
      <c r="J93" t="s">
        <v>194</v>
      </c>
    </row>
    <row r="94" spans="2:10" x14ac:dyDescent="0.3">
      <c r="B94">
        <v>77</v>
      </c>
      <c r="C94" s="55">
        <v>21568.427537429314</v>
      </c>
      <c r="D94">
        <v>12</v>
      </c>
      <c r="E94" s="55">
        <v>31278.148966112018</v>
      </c>
      <c r="F94">
        <v>11</v>
      </c>
      <c r="G94" t="s">
        <v>194</v>
      </c>
      <c r="H94" t="s">
        <v>194</v>
      </c>
      <c r="I94" t="s">
        <v>194</v>
      </c>
      <c r="J94" t="s">
        <v>194</v>
      </c>
    </row>
    <row r="95" spans="2:10" x14ac:dyDescent="0.3">
      <c r="B95">
        <v>78</v>
      </c>
      <c r="C95" s="55">
        <v>33923.025150150941</v>
      </c>
      <c r="D95">
        <v>12</v>
      </c>
      <c r="E95" s="55">
        <v>41257.40187698802</v>
      </c>
      <c r="F95">
        <v>11</v>
      </c>
      <c r="G95" t="s">
        <v>194</v>
      </c>
      <c r="H95" t="s">
        <v>194</v>
      </c>
      <c r="I95" t="s">
        <v>194</v>
      </c>
      <c r="J95" t="s">
        <v>194</v>
      </c>
    </row>
    <row r="96" spans="2:10" x14ac:dyDescent="0.3">
      <c r="B96">
        <v>79</v>
      </c>
      <c r="C96" s="55">
        <v>21064.207176220116</v>
      </c>
      <c r="D96">
        <v>12</v>
      </c>
      <c r="E96" s="55">
        <v>32636.561784636393</v>
      </c>
      <c r="F96">
        <v>11</v>
      </c>
      <c r="G96" t="s">
        <v>194</v>
      </c>
      <c r="H96" t="s">
        <v>194</v>
      </c>
      <c r="I96" t="s">
        <v>194</v>
      </c>
      <c r="J96" t="s">
        <v>194</v>
      </c>
    </row>
    <row r="97" spans="2:10" x14ac:dyDescent="0.3">
      <c r="B97">
        <v>80</v>
      </c>
      <c r="C97" s="55">
        <v>26129.595801825322</v>
      </c>
      <c r="D97">
        <v>12</v>
      </c>
      <c r="E97" s="55">
        <v>28639.197477017598</v>
      </c>
      <c r="F97">
        <v>11</v>
      </c>
      <c r="G97" t="s">
        <v>194</v>
      </c>
      <c r="H97" t="s">
        <v>194</v>
      </c>
      <c r="I97" t="s">
        <v>194</v>
      </c>
      <c r="J97" t="s">
        <v>194</v>
      </c>
    </row>
    <row r="98" spans="2:10" x14ac:dyDescent="0.3">
      <c r="B98">
        <v>81</v>
      </c>
      <c r="C98" s="55">
        <v>31771.827572987902</v>
      </c>
      <c r="D98">
        <v>12</v>
      </c>
      <c r="E98" s="55">
        <v>30105.989803066746</v>
      </c>
      <c r="F98">
        <v>11</v>
      </c>
      <c r="G98" t="s">
        <v>194</v>
      </c>
      <c r="H98" t="s">
        <v>194</v>
      </c>
      <c r="I98" t="s">
        <v>194</v>
      </c>
      <c r="J98" t="s">
        <v>194</v>
      </c>
    </row>
    <row r="99" spans="2:10" x14ac:dyDescent="0.3">
      <c r="B99">
        <v>82</v>
      </c>
      <c r="C99" s="55">
        <v>30243.570622328363</v>
      </c>
      <c r="D99">
        <v>12</v>
      </c>
      <c r="E99" s="55">
        <v>34521.119758680259</v>
      </c>
      <c r="F99">
        <v>11</v>
      </c>
      <c r="G99" t="s">
        <v>194</v>
      </c>
      <c r="H99" t="s">
        <v>194</v>
      </c>
      <c r="I99" t="s">
        <v>194</v>
      </c>
      <c r="J99" t="s">
        <v>194</v>
      </c>
    </row>
    <row r="100" spans="2:10" x14ac:dyDescent="0.3">
      <c r="B100">
        <v>83</v>
      </c>
      <c r="C100" s="55">
        <v>27492.594982275048</v>
      </c>
      <c r="D100">
        <v>12</v>
      </c>
      <c r="E100" s="55">
        <v>24843.842427494132</v>
      </c>
      <c r="F100">
        <v>11</v>
      </c>
      <c r="G100" t="s">
        <v>194</v>
      </c>
      <c r="H100" t="s">
        <v>194</v>
      </c>
      <c r="I100" t="s">
        <v>194</v>
      </c>
      <c r="J100" t="s">
        <v>194</v>
      </c>
    </row>
    <row r="101" spans="2:10" x14ac:dyDescent="0.3">
      <c r="B101">
        <v>84</v>
      </c>
      <c r="C101" s="55">
        <v>28903.874733199096</v>
      </c>
      <c r="D101">
        <v>12</v>
      </c>
      <c r="E101" s="55">
        <v>24923.425099252403</v>
      </c>
      <c r="F101">
        <v>11</v>
      </c>
      <c r="G101" t="s">
        <v>194</v>
      </c>
      <c r="H101" t="s">
        <v>194</v>
      </c>
      <c r="I101" t="s">
        <v>194</v>
      </c>
      <c r="J101" t="s">
        <v>194</v>
      </c>
    </row>
    <row r="102" spans="2:10" x14ac:dyDescent="0.3">
      <c r="B102">
        <v>85</v>
      </c>
      <c r="C102" s="55">
        <v>33751.691299870683</v>
      </c>
      <c r="D102">
        <v>12</v>
      </c>
      <c r="E102" s="55">
        <v>31001.910981703706</v>
      </c>
      <c r="F102">
        <v>11</v>
      </c>
      <c r="G102" t="s">
        <v>194</v>
      </c>
      <c r="H102" t="s">
        <v>194</v>
      </c>
      <c r="I102" t="s">
        <v>194</v>
      </c>
      <c r="J102" t="s">
        <v>194</v>
      </c>
    </row>
    <row r="103" spans="2:10" x14ac:dyDescent="0.3">
      <c r="B103">
        <v>86</v>
      </c>
      <c r="C103" s="55">
        <v>24876.208217212097</v>
      </c>
      <c r="D103">
        <v>12</v>
      </c>
      <c r="E103" s="55">
        <v>28223.294188687061</v>
      </c>
      <c r="F103">
        <v>11</v>
      </c>
      <c r="G103" t="s">
        <v>194</v>
      </c>
      <c r="H103" t="s">
        <v>194</v>
      </c>
      <c r="I103" t="s">
        <v>194</v>
      </c>
      <c r="J103" t="s">
        <v>194</v>
      </c>
    </row>
    <row r="104" spans="2:10" x14ac:dyDescent="0.3">
      <c r="B104">
        <v>87</v>
      </c>
      <c r="C104" s="55">
        <v>26478.578108578986</v>
      </c>
      <c r="D104">
        <v>12</v>
      </c>
      <c r="E104" s="55">
        <v>28102.2926915608</v>
      </c>
      <c r="F104">
        <v>11</v>
      </c>
      <c r="G104" t="s">
        <v>194</v>
      </c>
      <c r="H104" t="s">
        <v>194</v>
      </c>
      <c r="I104" t="s">
        <v>194</v>
      </c>
      <c r="J104" t="s">
        <v>194</v>
      </c>
    </row>
    <row r="105" spans="2:10" x14ac:dyDescent="0.3">
      <c r="B105">
        <v>88</v>
      </c>
      <c r="C105" s="55">
        <v>26084.496942046873</v>
      </c>
      <c r="D105">
        <v>12</v>
      </c>
      <c r="E105" s="55">
        <v>17579.841971475504</v>
      </c>
      <c r="F105">
        <v>6</v>
      </c>
      <c r="G105" t="s">
        <v>194</v>
      </c>
      <c r="H105" t="s">
        <v>194</v>
      </c>
      <c r="I105" t="s">
        <v>194</v>
      </c>
      <c r="J105" t="s">
        <v>194</v>
      </c>
    </row>
    <row r="106" spans="2:10" x14ac:dyDescent="0.3">
      <c r="B106">
        <v>89</v>
      </c>
      <c r="C106" s="55">
        <v>28564.118098003775</v>
      </c>
      <c r="D106">
        <v>12</v>
      </c>
      <c r="E106" s="55">
        <v>14929.866294238189</v>
      </c>
      <c r="F106">
        <v>6</v>
      </c>
      <c r="G106" t="s">
        <v>194</v>
      </c>
      <c r="H106" t="s">
        <v>194</v>
      </c>
      <c r="I106" t="s">
        <v>194</v>
      </c>
      <c r="J106" t="s">
        <v>194</v>
      </c>
    </row>
    <row r="107" spans="2:10" x14ac:dyDescent="0.3">
      <c r="B107">
        <v>90</v>
      </c>
      <c r="C107" s="55">
        <v>29467.527189526121</v>
      </c>
      <c r="D107">
        <v>12</v>
      </c>
      <c r="E107" s="55">
        <v>13860.954746614967</v>
      </c>
      <c r="F107">
        <v>6</v>
      </c>
      <c r="G107" t="s">
        <v>194</v>
      </c>
      <c r="H107" t="s">
        <v>194</v>
      </c>
      <c r="I107" t="s">
        <v>194</v>
      </c>
      <c r="J107" t="s">
        <v>194</v>
      </c>
    </row>
    <row r="108" spans="2:10" x14ac:dyDescent="0.3">
      <c r="B108">
        <v>91</v>
      </c>
      <c r="C108" s="55">
        <v>37671.682402582206</v>
      </c>
      <c r="D108">
        <v>12</v>
      </c>
      <c r="E108" s="55">
        <v>17674.003516530011</v>
      </c>
      <c r="F108">
        <v>6</v>
      </c>
      <c r="G108" t="s">
        <v>194</v>
      </c>
      <c r="H108" t="s">
        <v>194</v>
      </c>
      <c r="I108" t="s">
        <v>194</v>
      </c>
      <c r="J108" t="s">
        <v>194</v>
      </c>
    </row>
    <row r="109" spans="2:10" x14ac:dyDescent="0.3">
      <c r="B109">
        <v>92</v>
      </c>
      <c r="C109" s="55">
        <v>29535.499734293451</v>
      </c>
      <c r="D109">
        <v>12</v>
      </c>
      <c r="E109" s="55">
        <v>11810.590380077989</v>
      </c>
      <c r="F109">
        <v>8</v>
      </c>
      <c r="G109" t="s">
        <v>194</v>
      </c>
      <c r="H109" t="s">
        <v>194</v>
      </c>
      <c r="I109" t="s">
        <v>194</v>
      </c>
      <c r="J109" t="s">
        <v>194</v>
      </c>
    </row>
    <row r="110" spans="2:10" x14ac:dyDescent="0.3">
      <c r="B110">
        <v>93</v>
      </c>
      <c r="C110" s="55">
        <v>31596.980761311352</v>
      </c>
      <c r="D110">
        <v>12</v>
      </c>
      <c r="E110" s="55">
        <v>13618.930773880771</v>
      </c>
      <c r="F110">
        <v>8</v>
      </c>
      <c r="G110" t="s">
        <v>194</v>
      </c>
      <c r="H110" t="s">
        <v>194</v>
      </c>
      <c r="I110" t="s">
        <v>194</v>
      </c>
      <c r="J110" t="s">
        <v>194</v>
      </c>
    </row>
    <row r="111" spans="2:10" x14ac:dyDescent="0.3">
      <c r="B111">
        <v>94</v>
      </c>
      <c r="C111" s="55">
        <v>29058.600599226076</v>
      </c>
      <c r="D111">
        <v>12</v>
      </c>
      <c r="E111" s="55">
        <v>18439.671416686666</v>
      </c>
      <c r="F111">
        <v>8</v>
      </c>
      <c r="G111" t="s">
        <v>194</v>
      </c>
      <c r="H111" t="s">
        <v>194</v>
      </c>
      <c r="I111" t="s">
        <v>194</v>
      </c>
      <c r="J111" t="s">
        <v>194</v>
      </c>
    </row>
    <row r="112" spans="2:10" x14ac:dyDescent="0.3">
      <c r="B112">
        <v>95</v>
      </c>
      <c r="C112" s="55">
        <v>25449.282716364105</v>
      </c>
      <c r="D112">
        <v>12</v>
      </c>
      <c r="E112" s="55">
        <v>23348.951354561068</v>
      </c>
      <c r="F112">
        <v>8</v>
      </c>
      <c r="G112" t="s">
        <v>194</v>
      </c>
      <c r="H112" t="s">
        <v>194</v>
      </c>
      <c r="I112" t="s">
        <v>194</v>
      </c>
      <c r="J112" t="s">
        <v>194</v>
      </c>
    </row>
    <row r="113" spans="2:10" x14ac:dyDescent="0.3">
      <c r="B113">
        <v>96</v>
      </c>
      <c r="C113" s="55">
        <v>20640.309230026076</v>
      </c>
      <c r="D113">
        <v>12</v>
      </c>
      <c r="E113" s="55">
        <v>20823.224358483098</v>
      </c>
      <c r="F113">
        <v>8</v>
      </c>
      <c r="G113" t="s">
        <v>194</v>
      </c>
      <c r="H113" t="s">
        <v>194</v>
      </c>
      <c r="I113" t="s">
        <v>194</v>
      </c>
      <c r="J113" t="s">
        <v>194</v>
      </c>
    </row>
    <row r="114" spans="2:10" x14ac:dyDescent="0.3">
      <c r="B114">
        <v>97</v>
      </c>
      <c r="C114" s="55">
        <v>30359.749719654177</v>
      </c>
      <c r="D114">
        <v>12</v>
      </c>
      <c r="E114" s="55">
        <v>22178.098807910661</v>
      </c>
      <c r="F114">
        <v>8</v>
      </c>
      <c r="G114" t="s">
        <v>194</v>
      </c>
      <c r="H114" t="s">
        <v>194</v>
      </c>
      <c r="I114" t="s">
        <v>194</v>
      </c>
      <c r="J114" t="s">
        <v>194</v>
      </c>
    </row>
    <row r="115" spans="2:10" x14ac:dyDescent="0.3">
      <c r="B115">
        <v>98</v>
      </c>
      <c r="C115" s="55">
        <v>32705.270561483529</v>
      </c>
      <c r="D115">
        <v>12</v>
      </c>
      <c r="E115" s="55">
        <v>20971.564307207907</v>
      </c>
      <c r="F115">
        <v>9</v>
      </c>
      <c r="G115" t="s">
        <v>194</v>
      </c>
      <c r="H115" t="s">
        <v>194</v>
      </c>
      <c r="I115" t="s">
        <v>194</v>
      </c>
      <c r="J115" t="s">
        <v>194</v>
      </c>
    </row>
    <row r="116" spans="2:10" x14ac:dyDescent="0.3">
      <c r="B116">
        <v>99</v>
      </c>
      <c r="C116" s="55">
        <v>39265.491980995903</v>
      </c>
      <c r="D116">
        <v>12</v>
      </c>
      <c r="E116" s="55">
        <v>28463.412736237857</v>
      </c>
      <c r="F116">
        <v>9</v>
      </c>
      <c r="G116" t="s">
        <v>194</v>
      </c>
      <c r="H116" t="s">
        <v>194</v>
      </c>
      <c r="I116" t="s">
        <v>194</v>
      </c>
      <c r="J116" t="s">
        <v>194</v>
      </c>
    </row>
    <row r="117" spans="2:10" x14ac:dyDescent="0.3">
      <c r="B117">
        <v>100</v>
      </c>
      <c r="C117" s="55">
        <v>26089.082064231759</v>
      </c>
      <c r="D117">
        <v>12</v>
      </c>
      <c r="E117" s="55">
        <v>29673.022750700991</v>
      </c>
      <c r="F117">
        <v>9</v>
      </c>
      <c r="G117" t="s">
        <v>194</v>
      </c>
      <c r="H117" t="s">
        <v>194</v>
      </c>
      <c r="I117" t="s">
        <v>194</v>
      </c>
      <c r="J117" t="s">
        <v>194</v>
      </c>
    </row>
    <row r="118" spans="2:10" x14ac:dyDescent="0.3">
      <c r="B118">
        <v>101</v>
      </c>
      <c r="C118" s="55">
        <v>27274.542809751656</v>
      </c>
      <c r="D118">
        <v>10</v>
      </c>
      <c r="E118" s="55">
        <v>19077.800549040134</v>
      </c>
      <c r="F118">
        <v>9</v>
      </c>
      <c r="G118" t="s">
        <v>194</v>
      </c>
      <c r="H118" t="s">
        <v>194</v>
      </c>
      <c r="I118" t="s">
        <v>194</v>
      </c>
      <c r="J118" t="s">
        <v>194</v>
      </c>
    </row>
    <row r="119" spans="2:10" x14ac:dyDescent="0.3">
      <c r="B119">
        <v>102</v>
      </c>
      <c r="C119" s="55">
        <v>21260.755514334993</v>
      </c>
      <c r="D119">
        <v>10</v>
      </c>
      <c r="E119" s="55">
        <v>21706.772325329293</v>
      </c>
      <c r="F119">
        <v>9</v>
      </c>
      <c r="G119" t="s">
        <v>194</v>
      </c>
      <c r="H119" t="s">
        <v>194</v>
      </c>
      <c r="I119" t="s">
        <v>194</v>
      </c>
      <c r="J119" t="s">
        <v>194</v>
      </c>
    </row>
    <row r="120" spans="2:10" x14ac:dyDescent="0.3">
      <c r="B120">
        <v>103</v>
      </c>
      <c r="C120" s="55">
        <v>25432.25386342546</v>
      </c>
      <c r="D120">
        <v>10</v>
      </c>
      <c r="E120" s="55">
        <v>27798.080999487884</v>
      </c>
      <c r="F120">
        <v>9</v>
      </c>
      <c r="G120" t="s">
        <v>194</v>
      </c>
      <c r="H120" t="s">
        <v>194</v>
      </c>
      <c r="I120" t="s">
        <v>194</v>
      </c>
      <c r="J120" t="s">
        <v>194</v>
      </c>
    </row>
    <row r="121" spans="2:10" x14ac:dyDescent="0.3">
      <c r="B121">
        <v>104</v>
      </c>
      <c r="C121" s="55">
        <v>21022.531765072035</v>
      </c>
      <c r="D121">
        <v>10</v>
      </c>
      <c r="E121" s="55">
        <v>25952.1761748752</v>
      </c>
      <c r="F121">
        <v>12</v>
      </c>
      <c r="G121" t="s">
        <v>194</v>
      </c>
      <c r="H121" t="s">
        <v>194</v>
      </c>
      <c r="I121" t="s">
        <v>194</v>
      </c>
      <c r="J121" t="s">
        <v>194</v>
      </c>
    </row>
    <row r="122" spans="2:10" x14ac:dyDescent="0.3">
      <c r="B122">
        <v>105</v>
      </c>
      <c r="C122" s="55">
        <v>33765.399549923153</v>
      </c>
      <c r="D122">
        <v>10</v>
      </c>
      <c r="E122" s="55">
        <v>29529.052723462275</v>
      </c>
      <c r="F122">
        <v>12</v>
      </c>
      <c r="G122" t="s">
        <v>194</v>
      </c>
      <c r="H122" t="s">
        <v>194</v>
      </c>
      <c r="I122" t="s">
        <v>194</v>
      </c>
      <c r="J122" t="s">
        <v>194</v>
      </c>
    </row>
    <row r="123" spans="2:10" x14ac:dyDescent="0.3">
      <c r="B123">
        <v>106</v>
      </c>
      <c r="C123" s="55">
        <v>20832.724564548073</v>
      </c>
      <c r="D123">
        <v>10</v>
      </c>
      <c r="E123" s="55">
        <v>24775.721835790016</v>
      </c>
      <c r="F123">
        <v>12</v>
      </c>
      <c r="G123" t="s">
        <v>194</v>
      </c>
      <c r="H123" t="s">
        <v>194</v>
      </c>
      <c r="I123" t="s">
        <v>194</v>
      </c>
      <c r="J123" t="s">
        <v>194</v>
      </c>
    </row>
    <row r="124" spans="2:10" x14ac:dyDescent="0.3">
      <c r="B124">
        <v>107</v>
      </c>
      <c r="C124" s="55">
        <v>34412.128833581104</v>
      </c>
      <c r="D124">
        <v>10</v>
      </c>
      <c r="E124" s="55">
        <v>37740.477837574472</v>
      </c>
      <c r="F124">
        <v>12</v>
      </c>
      <c r="G124" t="s">
        <v>194</v>
      </c>
      <c r="H124" t="s">
        <v>194</v>
      </c>
      <c r="I124" t="s">
        <v>194</v>
      </c>
      <c r="J124" t="s">
        <v>194</v>
      </c>
    </row>
    <row r="125" spans="2:10" x14ac:dyDescent="0.3">
      <c r="B125">
        <v>108</v>
      </c>
      <c r="C125" s="55">
        <v>18075.394354279138</v>
      </c>
      <c r="D125">
        <v>10</v>
      </c>
      <c r="E125" s="55">
        <v>36732.150710249742</v>
      </c>
      <c r="F125">
        <v>12</v>
      </c>
      <c r="G125" t="s">
        <v>194</v>
      </c>
      <c r="H125" t="s">
        <v>194</v>
      </c>
      <c r="I125" t="s">
        <v>194</v>
      </c>
      <c r="J125" t="s">
        <v>194</v>
      </c>
    </row>
    <row r="126" spans="2:10" x14ac:dyDescent="0.3">
      <c r="B126">
        <v>109</v>
      </c>
      <c r="C126" s="55">
        <v>26736.877544857482</v>
      </c>
      <c r="D126">
        <v>10</v>
      </c>
      <c r="E126" s="55">
        <v>27891.103571525891</v>
      </c>
      <c r="F126">
        <v>12</v>
      </c>
      <c r="G126" t="s">
        <v>194</v>
      </c>
      <c r="H126" t="s">
        <v>194</v>
      </c>
      <c r="I126" t="s">
        <v>194</v>
      </c>
      <c r="J126" t="s">
        <v>194</v>
      </c>
    </row>
    <row r="127" spans="2:10" x14ac:dyDescent="0.3">
      <c r="B127">
        <v>110</v>
      </c>
      <c r="C127" s="55">
        <v>23079.672204628521</v>
      </c>
      <c r="D127">
        <v>10</v>
      </c>
      <c r="E127" s="55">
        <v>31223.460480550923</v>
      </c>
      <c r="F127">
        <v>12</v>
      </c>
      <c r="G127" t="s">
        <v>194</v>
      </c>
      <c r="H127" t="s">
        <v>194</v>
      </c>
      <c r="I127" t="s">
        <v>194</v>
      </c>
      <c r="J127" t="s">
        <v>194</v>
      </c>
    </row>
    <row r="128" spans="2:10" x14ac:dyDescent="0.3">
      <c r="B128">
        <v>111</v>
      </c>
      <c r="C128" s="55">
        <v>23695.858392082475</v>
      </c>
      <c r="D128">
        <v>10</v>
      </c>
      <c r="E128" s="55">
        <v>36736.924960215511</v>
      </c>
      <c r="F128">
        <v>12</v>
      </c>
      <c r="G128" t="s">
        <v>194</v>
      </c>
      <c r="H128" t="s">
        <v>194</v>
      </c>
      <c r="I128" t="s">
        <v>194</v>
      </c>
      <c r="J128" t="s">
        <v>194</v>
      </c>
    </row>
    <row r="129" spans="2:10" x14ac:dyDescent="0.3">
      <c r="B129">
        <v>112</v>
      </c>
      <c r="C129" s="55">
        <v>31424.971846617249</v>
      </c>
      <c r="D129">
        <v>10</v>
      </c>
      <c r="E129" s="55">
        <v>28492.570683992115</v>
      </c>
      <c r="F129">
        <v>12</v>
      </c>
      <c r="G129" t="s">
        <v>194</v>
      </c>
      <c r="H129" t="s">
        <v>194</v>
      </c>
      <c r="I129" t="s">
        <v>194</v>
      </c>
      <c r="J129" t="s">
        <v>194</v>
      </c>
    </row>
    <row r="130" spans="2:10" x14ac:dyDescent="0.3">
      <c r="B130">
        <v>113</v>
      </c>
      <c r="C130" s="55">
        <v>15037.013371943749</v>
      </c>
      <c r="D130">
        <v>10</v>
      </c>
      <c r="E130" s="55">
        <v>35669.30282240353</v>
      </c>
      <c r="F130">
        <v>12</v>
      </c>
      <c r="G130" t="s">
        <v>194</v>
      </c>
      <c r="H130" t="s">
        <v>194</v>
      </c>
      <c r="I130" t="s">
        <v>194</v>
      </c>
      <c r="J130" t="s">
        <v>194</v>
      </c>
    </row>
    <row r="131" spans="2:10" x14ac:dyDescent="0.3">
      <c r="B131">
        <v>114</v>
      </c>
      <c r="C131" s="55">
        <v>23796.542340081942</v>
      </c>
      <c r="D131">
        <v>10</v>
      </c>
      <c r="E131" s="55">
        <v>26920.366752175778</v>
      </c>
      <c r="F131">
        <v>12</v>
      </c>
      <c r="G131" t="s">
        <v>194</v>
      </c>
      <c r="H131" t="s">
        <v>194</v>
      </c>
      <c r="I131" t="s">
        <v>194</v>
      </c>
      <c r="J131" t="s">
        <v>194</v>
      </c>
    </row>
    <row r="132" spans="2:10" x14ac:dyDescent="0.3">
      <c r="B132">
        <v>115</v>
      </c>
      <c r="C132" s="55">
        <v>19375.632581634316</v>
      </c>
      <c r="D132">
        <v>10</v>
      </c>
      <c r="E132" s="55">
        <v>29525.784129864835</v>
      </c>
      <c r="F132">
        <v>12</v>
      </c>
      <c r="G132" t="s">
        <v>194</v>
      </c>
      <c r="H132" t="s">
        <v>194</v>
      </c>
      <c r="I132" t="s">
        <v>194</v>
      </c>
      <c r="J132" t="s">
        <v>194</v>
      </c>
    </row>
    <row r="133" spans="2:10" x14ac:dyDescent="0.3">
      <c r="B133">
        <v>116</v>
      </c>
      <c r="C133" s="55">
        <v>22312.999630795075</v>
      </c>
      <c r="D133">
        <v>10</v>
      </c>
      <c r="E133" s="55">
        <v>28035.196060141254</v>
      </c>
      <c r="F133">
        <v>12</v>
      </c>
      <c r="G133" t="s">
        <v>194</v>
      </c>
      <c r="H133" t="s">
        <v>194</v>
      </c>
      <c r="I133" t="s">
        <v>194</v>
      </c>
      <c r="J133" t="s">
        <v>194</v>
      </c>
    </row>
    <row r="134" spans="2:10" x14ac:dyDescent="0.3">
      <c r="B134">
        <v>117</v>
      </c>
      <c r="C134" s="55">
        <v>27404.633676788693</v>
      </c>
      <c r="D134">
        <v>10</v>
      </c>
      <c r="E134" s="55">
        <v>45324.901143817333</v>
      </c>
      <c r="F134">
        <v>12</v>
      </c>
      <c r="G134" t="s">
        <v>194</v>
      </c>
      <c r="H134" t="s">
        <v>194</v>
      </c>
      <c r="I134" t="s">
        <v>194</v>
      </c>
      <c r="J134" t="s">
        <v>194</v>
      </c>
    </row>
    <row r="135" spans="2:10" x14ac:dyDescent="0.3">
      <c r="B135">
        <v>118</v>
      </c>
      <c r="C135" s="55">
        <v>16282.283662862301</v>
      </c>
      <c r="D135">
        <v>10</v>
      </c>
      <c r="E135" s="55">
        <v>22518.898394021362</v>
      </c>
      <c r="F135">
        <v>12</v>
      </c>
      <c r="G135" t="s">
        <v>194</v>
      </c>
      <c r="H135" t="s">
        <v>194</v>
      </c>
      <c r="I135" t="s">
        <v>194</v>
      </c>
      <c r="J135" t="s">
        <v>194</v>
      </c>
    </row>
    <row r="136" spans="2:10" x14ac:dyDescent="0.3">
      <c r="B136">
        <v>119</v>
      </c>
      <c r="C136" s="55">
        <v>20257.206047623044</v>
      </c>
      <c r="D136">
        <v>10</v>
      </c>
      <c r="E136" s="55">
        <v>35100.748866276001</v>
      </c>
      <c r="F136">
        <v>12</v>
      </c>
      <c r="G136" t="s">
        <v>194</v>
      </c>
      <c r="H136" t="s">
        <v>194</v>
      </c>
      <c r="I136" t="s">
        <v>194</v>
      </c>
      <c r="J136" t="s">
        <v>194</v>
      </c>
    </row>
    <row r="137" spans="2:10" x14ac:dyDescent="0.3">
      <c r="B137">
        <v>120</v>
      </c>
      <c r="C137" s="55">
        <v>22599.166121352784</v>
      </c>
      <c r="D137">
        <v>10</v>
      </c>
      <c r="E137" s="55">
        <v>30804.782848576713</v>
      </c>
      <c r="F137">
        <v>12</v>
      </c>
      <c r="G137" t="s">
        <v>194</v>
      </c>
      <c r="H137" t="s">
        <v>194</v>
      </c>
      <c r="I137" t="s">
        <v>194</v>
      </c>
      <c r="J137" t="s">
        <v>194</v>
      </c>
    </row>
    <row r="138" spans="2:10" x14ac:dyDescent="0.3">
      <c r="B138">
        <v>121</v>
      </c>
      <c r="C138" s="55">
        <v>19132.501412322599</v>
      </c>
      <c r="D138">
        <v>8</v>
      </c>
      <c r="E138" s="55">
        <v>34307.004780546711</v>
      </c>
      <c r="F138">
        <v>12</v>
      </c>
      <c r="G138" t="s">
        <v>194</v>
      </c>
      <c r="H138" t="s">
        <v>194</v>
      </c>
      <c r="I138" t="s">
        <v>194</v>
      </c>
      <c r="J138" t="s">
        <v>194</v>
      </c>
    </row>
    <row r="139" spans="2:10" x14ac:dyDescent="0.3">
      <c r="B139">
        <v>122</v>
      </c>
      <c r="C139" s="55">
        <v>13569.016488882731</v>
      </c>
      <c r="D139">
        <v>8</v>
      </c>
      <c r="E139" s="55">
        <v>19055.3788477118</v>
      </c>
      <c r="F139">
        <v>8</v>
      </c>
      <c r="G139" t="s">
        <v>194</v>
      </c>
      <c r="H139" t="s">
        <v>194</v>
      </c>
      <c r="I139" t="s">
        <v>194</v>
      </c>
      <c r="J139" t="s">
        <v>194</v>
      </c>
    </row>
    <row r="140" spans="2:10" x14ac:dyDescent="0.3">
      <c r="B140">
        <v>123</v>
      </c>
      <c r="C140" s="55">
        <v>27290.58129082973</v>
      </c>
      <c r="D140">
        <v>8</v>
      </c>
      <c r="E140" s="55">
        <v>19912.862516346257</v>
      </c>
      <c r="F140">
        <v>6</v>
      </c>
      <c r="G140" t="s">
        <v>194</v>
      </c>
      <c r="H140" t="s">
        <v>194</v>
      </c>
      <c r="I140" t="s">
        <v>194</v>
      </c>
      <c r="J140" t="s">
        <v>194</v>
      </c>
    </row>
    <row r="141" spans="2:10" x14ac:dyDescent="0.3">
      <c r="B141">
        <v>124</v>
      </c>
      <c r="C141" s="55">
        <v>20770.467816630895</v>
      </c>
      <c r="D141">
        <v>8</v>
      </c>
      <c r="E141" s="55">
        <v>31011.495673614008</v>
      </c>
      <c r="F141">
        <v>9</v>
      </c>
      <c r="G141" t="s">
        <v>194</v>
      </c>
      <c r="H141" t="s">
        <v>194</v>
      </c>
      <c r="I141" t="s">
        <v>194</v>
      </c>
      <c r="J141" t="s">
        <v>194</v>
      </c>
    </row>
    <row r="142" spans="2:10" x14ac:dyDescent="0.3">
      <c r="B142">
        <v>125</v>
      </c>
      <c r="C142" s="55">
        <v>17394.877064600558</v>
      </c>
      <c r="D142">
        <v>8</v>
      </c>
      <c r="E142" s="55">
        <v>35027.212117558767</v>
      </c>
      <c r="F142">
        <v>11</v>
      </c>
      <c r="G142" t="s">
        <v>194</v>
      </c>
      <c r="H142" t="s">
        <v>194</v>
      </c>
      <c r="I142" t="s">
        <v>194</v>
      </c>
      <c r="J142" t="s">
        <v>194</v>
      </c>
    </row>
    <row r="143" spans="2:10" x14ac:dyDescent="0.3">
      <c r="B143">
        <v>126</v>
      </c>
      <c r="C143" s="55">
        <v>26300.401043926602</v>
      </c>
      <c r="D143">
        <v>8</v>
      </c>
      <c r="E143" s="55">
        <v>26040.265579274779</v>
      </c>
      <c r="F143">
        <v>11</v>
      </c>
      <c r="G143" t="s">
        <v>194</v>
      </c>
      <c r="H143" t="s">
        <v>194</v>
      </c>
      <c r="I143" t="s">
        <v>194</v>
      </c>
      <c r="J143" t="s">
        <v>194</v>
      </c>
    </row>
    <row r="144" spans="2:10" x14ac:dyDescent="0.3">
      <c r="B144">
        <v>127</v>
      </c>
      <c r="C144" s="55">
        <v>21736.052001637632</v>
      </c>
      <c r="D144">
        <v>8</v>
      </c>
      <c r="E144" s="55">
        <v>30890.303810245627</v>
      </c>
      <c r="F144">
        <v>12</v>
      </c>
      <c r="G144" t="s">
        <v>194</v>
      </c>
      <c r="H144" t="s">
        <v>194</v>
      </c>
      <c r="I144" t="s">
        <v>194</v>
      </c>
      <c r="J144" t="s">
        <v>194</v>
      </c>
    </row>
    <row r="145" spans="2:10" x14ac:dyDescent="0.3">
      <c r="B145">
        <v>128</v>
      </c>
      <c r="C145" s="55">
        <v>19849.946366563752</v>
      </c>
      <c r="D145">
        <v>8</v>
      </c>
      <c r="E145" s="55">
        <v>30753.421564613775</v>
      </c>
      <c r="F145">
        <v>12</v>
      </c>
      <c r="G145" t="s">
        <v>194</v>
      </c>
      <c r="H145" t="s">
        <v>194</v>
      </c>
      <c r="I145" t="s">
        <v>194</v>
      </c>
      <c r="J145" t="s">
        <v>194</v>
      </c>
    </row>
    <row r="146" spans="2:10" x14ac:dyDescent="0.3">
      <c r="B146">
        <v>129</v>
      </c>
      <c r="C146" s="55">
        <v>14256.590629920982</v>
      </c>
      <c r="D146">
        <v>8</v>
      </c>
      <c r="E146" s="55">
        <v>35301.326338748848</v>
      </c>
      <c r="F146">
        <v>12</v>
      </c>
      <c r="G146" t="s">
        <v>194</v>
      </c>
      <c r="H146" t="s">
        <v>194</v>
      </c>
      <c r="I146" t="s">
        <v>194</v>
      </c>
      <c r="J146" t="s">
        <v>194</v>
      </c>
    </row>
    <row r="147" spans="2:10" x14ac:dyDescent="0.3">
      <c r="B147">
        <v>130</v>
      </c>
      <c r="C147" s="55">
        <v>21263.683886228544</v>
      </c>
      <c r="D147">
        <v>8</v>
      </c>
      <c r="E147" s="55">
        <v>32174.7440292024</v>
      </c>
      <c r="F147">
        <v>12</v>
      </c>
      <c r="G147" t="s">
        <v>194</v>
      </c>
      <c r="H147" t="s">
        <v>194</v>
      </c>
      <c r="I147" t="s">
        <v>194</v>
      </c>
      <c r="J147" t="s">
        <v>194</v>
      </c>
    </row>
    <row r="148" spans="2:10" x14ac:dyDescent="0.3">
      <c r="B148">
        <v>131</v>
      </c>
      <c r="C148" s="55">
        <v>23001.711899956106</v>
      </c>
      <c r="D148">
        <v>9</v>
      </c>
      <c r="E148" s="55">
        <v>22652.667356251382</v>
      </c>
      <c r="F148">
        <v>6</v>
      </c>
      <c r="G148" t="s">
        <v>194</v>
      </c>
      <c r="H148" t="s">
        <v>194</v>
      </c>
      <c r="I148" t="s">
        <v>194</v>
      </c>
      <c r="J148" t="s">
        <v>194</v>
      </c>
    </row>
    <row r="149" spans="2:10" x14ac:dyDescent="0.3">
      <c r="B149">
        <v>132</v>
      </c>
      <c r="C149" s="55">
        <v>13716.208756733658</v>
      </c>
      <c r="D149">
        <v>9</v>
      </c>
      <c r="E149" s="55">
        <v>16481.077008544809</v>
      </c>
      <c r="F149">
        <v>6</v>
      </c>
      <c r="G149" t="s">
        <v>194</v>
      </c>
      <c r="H149" t="s">
        <v>194</v>
      </c>
      <c r="I149" t="s">
        <v>194</v>
      </c>
      <c r="J149" t="s">
        <v>194</v>
      </c>
    </row>
    <row r="150" spans="2:10" x14ac:dyDescent="0.3">
      <c r="B150">
        <v>133</v>
      </c>
      <c r="C150" s="55">
        <v>24015.95622570159</v>
      </c>
      <c r="D150">
        <v>9</v>
      </c>
      <c r="E150" s="55">
        <v>10220.789240354725</v>
      </c>
      <c r="F150">
        <v>9</v>
      </c>
      <c r="G150" t="s">
        <v>194</v>
      </c>
      <c r="H150" t="s">
        <v>194</v>
      </c>
      <c r="I150" t="s">
        <v>194</v>
      </c>
      <c r="J150" t="s">
        <v>194</v>
      </c>
    </row>
    <row r="151" spans="2:10" x14ac:dyDescent="0.3">
      <c r="B151">
        <v>134</v>
      </c>
      <c r="C151" s="55">
        <v>15473.615354152014</v>
      </c>
      <c r="D151">
        <v>9</v>
      </c>
      <c r="E151" s="55">
        <v>20889.219320698299</v>
      </c>
      <c r="F151">
        <v>9</v>
      </c>
      <c r="G151" t="s">
        <v>194</v>
      </c>
      <c r="H151" t="s">
        <v>194</v>
      </c>
      <c r="I151" t="s">
        <v>194</v>
      </c>
      <c r="J151" t="s">
        <v>194</v>
      </c>
    </row>
    <row r="152" spans="2:10" x14ac:dyDescent="0.3">
      <c r="B152">
        <v>135</v>
      </c>
      <c r="C152" s="55">
        <v>20202.667579977337</v>
      </c>
      <c r="D152">
        <v>9</v>
      </c>
      <c r="E152" s="55">
        <v>23034.063226624938</v>
      </c>
      <c r="F152">
        <v>12</v>
      </c>
      <c r="G152" t="s">
        <v>194</v>
      </c>
      <c r="H152" t="s">
        <v>194</v>
      </c>
      <c r="I152" t="s">
        <v>194</v>
      </c>
      <c r="J152" t="s">
        <v>194</v>
      </c>
    </row>
    <row r="153" spans="2:10" x14ac:dyDescent="0.3">
      <c r="B153">
        <v>136</v>
      </c>
      <c r="C153" s="55">
        <v>21867.995784827312</v>
      </c>
      <c r="D153">
        <v>9</v>
      </c>
      <c r="E153" s="55">
        <v>29492.536755547808</v>
      </c>
      <c r="F153">
        <v>12</v>
      </c>
      <c r="G153" t="s">
        <v>194</v>
      </c>
      <c r="H153" t="s">
        <v>194</v>
      </c>
      <c r="I153" t="s">
        <v>194</v>
      </c>
      <c r="J153" t="s">
        <v>194</v>
      </c>
    </row>
    <row r="154" spans="2:10" x14ac:dyDescent="0.3">
      <c r="B154">
        <v>137</v>
      </c>
      <c r="C154" s="55">
        <v>22043.647631104894</v>
      </c>
      <c r="D154">
        <v>9</v>
      </c>
      <c r="E154" s="55">
        <v>28052.689142774918</v>
      </c>
      <c r="F154">
        <v>12</v>
      </c>
      <c r="G154" t="s">
        <v>194</v>
      </c>
      <c r="H154" t="s">
        <v>194</v>
      </c>
      <c r="I154" t="s">
        <v>194</v>
      </c>
      <c r="J154" t="s">
        <v>194</v>
      </c>
    </row>
    <row r="155" spans="2:10" x14ac:dyDescent="0.3">
      <c r="B155">
        <v>138</v>
      </c>
      <c r="C155" s="55">
        <v>17550.326751948</v>
      </c>
      <c r="D155">
        <v>9</v>
      </c>
      <c r="E155" s="55">
        <v>29429.126208158297</v>
      </c>
      <c r="F155">
        <v>12</v>
      </c>
      <c r="G155" t="s">
        <v>194</v>
      </c>
      <c r="H155" t="s">
        <v>194</v>
      </c>
      <c r="I155" t="s">
        <v>194</v>
      </c>
      <c r="J155" t="s">
        <v>194</v>
      </c>
    </row>
    <row r="156" spans="2:10" x14ac:dyDescent="0.3">
      <c r="B156">
        <v>139</v>
      </c>
      <c r="C156" s="55">
        <v>24589.41471493784</v>
      </c>
      <c r="D156">
        <v>9</v>
      </c>
      <c r="E156" s="55">
        <v>27641.211950568621</v>
      </c>
      <c r="F156">
        <v>12</v>
      </c>
      <c r="G156" t="s">
        <v>194</v>
      </c>
      <c r="H156" t="s">
        <v>194</v>
      </c>
      <c r="I156" t="s">
        <v>194</v>
      </c>
      <c r="J156" t="s">
        <v>194</v>
      </c>
    </row>
    <row r="157" spans="2:10" x14ac:dyDescent="0.3">
      <c r="B157">
        <v>140</v>
      </c>
      <c r="C157" s="55">
        <v>25307.774482574765</v>
      </c>
      <c r="D157">
        <v>9</v>
      </c>
      <c r="E157" s="55">
        <v>36879.073014935835</v>
      </c>
      <c r="F157">
        <v>12</v>
      </c>
      <c r="G157" t="s">
        <v>194</v>
      </c>
      <c r="H157" t="s">
        <v>194</v>
      </c>
      <c r="I157" t="s">
        <v>194</v>
      </c>
      <c r="J157" t="s">
        <v>194</v>
      </c>
    </row>
    <row r="158" spans="2:10" x14ac:dyDescent="0.3">
      <c r="B158">
        <v>141</v>
      </c>
      <c r="C158" s="55">
        <v>12317.491360073331</v>
      </c>
      <c r="D158">
        <v>6</v>
      </c>
      <c r="E158" s="55">
        <v>13076.968129364404</v>
      </c>
      <c r="F158">
        <v>6</v>
      </c>
      <c r="G158" t="s">
        <v>194</v>
      </c>
      <c r="H158" t="s">
        <v>194</v>
      </c>
      <c r="I158" t="s">
        <v>194</v>
      </c>
      <c r="J158" t="s">
        <v>194</v>
      </c>
    </row>
    <row r="159" spans="2:10" x14ac:dyDescent="0.3">
      <c r="B159">
        <v>142</v>
      </c>
      <c r="C159" s="55">
        <v>15950.354628489891</v>
      </c>
      <c r="D159">
        <v>6</v>
      </c>
      <c r="E159" s="55">
        <v>15762.998210054051</v>
      </c>
      <c r="F159">
        <v>6</v>
      </c>
      <c r="G159" t="s">
        <v>194</v>
      </c>
      <c r="H159" t="s">
        <v>194</v>
      </c>
      <c r="I159" t="s">
        <v>194</v>
      </c>
      <c r="J159" t="s">
        <v>194</v>
      </c>
    </row>
    <row r="160" spans="2:10" x14ac:dyDescent="0.3">
      <c r="B160">
        <v>143</v>
      </c>
      <c r="C160" s="55">
        <v>12810.071171470394</v>
      </c>
      <c r="D160">
        <v>6</v>
      </c>
      <c r="E160" s="55">
        <v>21120.572242172228</v>
      </c>
      <c r="F160">
        <v>8</v>
      </c>
      <c r="G160" t="s">
        <v>194</v>
      </c>
      <c r="H160" t="s">
        <v>194</v>
      </c>
      <c r="I160" t="s">
        <v>194</v>
      </c>
      <c r="J160" t="s">
        <v>194</v>
      </c>
    </row>
    <row r="161" spans="2:10" x14ac:dyDescent="0.3">
      <c r="B161">
        <v>144</v>
      </c>
      <c r="C161" s="55">
        <v>7551.4890203990544</v>
      </c>
      <c r="D161">
        <v>6</v>
      </c>
      <c r="E161" s="55">
        <v>24061.392834570346</v>
      </c>
      <c r="F161">
        <v>10</v>
      </c>
      <c r="G161" t="s">
        <v>194</v>
      </c>
      <c r="H161" t="s">
        <v>194</v>
      </c>
      <c r="I161" t="s">
        <v>194</v>
      </c>
      <c r="J161" t="s">
        <v>194</v>
      </c>
    </row>
    <row r="162" spans="2:10" x14ac:dyDescent="0.3">
      <c r="B162">
        <v>145</v>
      </c>
      <c r="C162" s="55">
        <v>14746.582850865292</v>
      </c>
      <c r="D162">
        <v>6</v>
      </c>
      <c r="E162" s="55">
        <v>33104.556647448648</v>
      </c>
      <c r="F162">
        <v>12</v>
      </c>
      <c r="G162" t="s">
        <v>194</v>
      </c>
      <c r="H162" t="s">
        <v>194</v>
      </c>
      <c r="I162" t="s">
        <v>194</v>
      </c>
      <c r="J162" t="s">
        <v>194</v>
      </c>
    </row>
    <row r="163" spans="2:10" x14ac:dyDescent="0.3">
      <c r="B163">
        <v>146</v>
      </c>
      <c r="C163" s="55">
        <v>10327.956800910473</v>
      </c>
      <c r="D163">
        <v>6</v>
      </c>
      <c r="E163" s="55">
        <v>35964.817301775503</v>
      </c>
      <c r="F163">
        <v>12</v>
      </c>
      <c r="G163" t="s">
        <v>194</v>
      </c>
      <c r="H163" t="s">
        <v>194</v>
      </c>
      <c r="I163" t="s">
        <v>194</v>
      </c>
      <c r="J163" t="s">
        <v>194</v>
      </c>
    </row>
    <row r="164" spans="2:10" x14ac:dyDescent="0.3">
      <c r="B164">
        <v>147</v>
      </c>
      <c r="C164" s="55">
        <v>18561.12652660684</v>
      </c>
      <c r="D164">
        <v>6</v>
      </c>
      <c r="E164" s="55">
        <v>34304.216206830424</v>
      </c>
      <c r="F164">
        <v>12</v>
      </c>
      <c r="G164" t="s">
        <v>194</v>
      </c>
      <c r="H164" t="s">
        <v>194</v>
      </c>
      <c r="I164" t="s">
        <v>194</v>
      </c>
      <c r="J164" t="s">
        <v>194</v>
      </c>
    </row>
    <row r="165" spans="2:10" x14ac:dyDescent="0.3">
      <c r="B165">
        <v>148</v>
      </c>
      <c r="C165" s="55">
        <v>14229.216124235983</v>
      </c>
      <c r="D165">
        <v>6</v>
      </c>
      <c r="E165" s="55">
        <v>42085.058171344179</v>
      </c>
      <c r="F165">
        <v>12</v>
      </c>
      <c r="G165" t="s">
        <v>194</v>
      </c>
      <c r="H165" t="s">
        <v>194</v>
      </c>
      <c r="I165" t="s">
        <v>194</v>
      </c>
      <c r="J165" t="s">
        <v>194</v>
      </c>
    </row>
    <row r="166" spans="2:10" x14ac:dyDescent="0.3">
      <c r="B166">
        <v>149</v>
      </c>
      <c r="C166" s="55">
        <v>23278.584179279926</v>
      </c>
      <c r="D166">
        <v>6</v>
      </c>
      <c r="E166" s="55">
        <v>42485.334898062727</v>
      </c>
      <c r="F166">
        <v>12</v>
      </c>
      <c r="G166" t="s">
        <v>194</v>
      </c>
      <c r="H166" t="s">
        <v>194</v>
      </c>
      <c r="I166" t="s">
        <v>194</v>
      </c>
      <c r="J166" t="s">
        <v>194</v>
      </c>
    </row>
    <row r="167" spans="2:10" x14ac:dyDescent="0.3">
      <c r="B167">
        <v>150</v>
      </c>
      <c r="C167" s="55">
        <v>15180.13713974297</v>
      </c>
      <c r="D167">
        <v>6</v>
      </c>
      <c r="E167" s="55">
        <v>42458.974669248419</v>
      </c>
      <c r="F167">
        <v>12</v>
      </c>
      <c r="G167" t="s">
        <v>194</v>
      </c>
      <c r="H167" t="s">
        <v>194</v>
      </c>
      <c r="I167" t="s">
        <v>194</v>
      </c>
      <c r="J167" t="s">
        <v>194</v>
      </c>
    </row>
    <row r="168" spans="2:10" x14ac:dyDescent="0.3">
      <c r="B168">
        <v>151</v>
      </c>
      <c r="C168" s="55">
        <v>39171.845834561544</v>
      </c>
      <c r="D168">
        <v>12</v>
      </c>
      <c r="E168" s="55">
        <v>28350.276532067139</v>
      </c>
      <c r="F168">
        <v>12</v>
      </c>
      <c r="G168" t="s">
        <v>183</v>
      </c>
      <c r="H168" t="s">
        <v>194</v>
      </c>
      <c r="I168" t="s">
        <v>183</v>
      </c>
      <c r="J168" t="s">
        <v>183</v>
      </c>
    </row>
    <row r="169" spans="2:10" x14ac:dyDescent="0.3">
      <c r="B169">
        <v>152</v>
      </c>
      <c r="C169" s="55">
        <v>22418.566133792461</v>
      </c>
      <c r="D169">
        <v>12</v>
      </c>
      <c r="E169" s="55">
        <v>43515.106495024782</v>
      </c>
      <c r="F169">
        <v>12</v>
      </c>
      <c r="G169" t="s">
        <v>183</v>
      </c>
      <c r="H169" t="s">
        <v>194</v>
      </c>
      <c r="I169" t="s">
        <v>183</v>
      </c>
      <c r="J169" t="s">
        <v>183</v>
      </c>
    </row>
    <row r="170" spans="2:10" x14ac:dyDescent="0.3">
      <c r="B170">
        <v>153</v>
      </c>
      <c r="C170" s="55">
        <v>32391.265446055346</v>
      </c>
      <c r="D170">
        <v>12</v>
      </c>
      <c r="E170" s="55">
        <v>37767.327127643817</v>
      </c>
      <c r="F170">
        <v>12</v>
      </c>
      <c r="G170" t="s">
        <v>183</v>
      </c>
      <c r="H170" t="s">
        <v>194</v>
      </c>
      <c r="I170" t="s">
        <v>183</v>
      </c>
      <c r="J170" t="s">
        <v>183</v>
      </c>
    </row>
    <row r="171" spans="2:10" x14ac:dyDescent="0.3">
      <c r="B171">
        <v>154</v>
      </c>
      <c r="C171" s="55">
        <v>37479.325988998884</v>
      </c>
      <c r="D171">
        <v>12</v>
      </c>
      <c r="E171" s="55">
        <v>35476.753617225258</v>
      </c>
      <c r="F171">
        <v>12</v>
      </c>
      <c r="G171" t="s">
        <v>183</v>
      </c>
      <c r="H171" t="s">
        <v>194</v>
      </c>
      <c r="I171" t="s">
        <v>183</v>
      </c>
      <c r="J171" t="s">
        <v>183</v>
      </c>
    </row>
    <row r="172" spans="2:10" x14ac:dyDescent="0.3">
      <c r="B172">
        <v>155</v>
      </c>
      <c r="C172" s="55">
        <v>31856.56376896525</v>
      </c>
      <c r="D172">
        <v>12</v>
      </c>
      <c r="E172" s="55">
        <v>45483.370034826956</v>
      </c>
      <c r="F172">
        <v>12</v>
      </c>
      <c r="G172" t="s">
        <v>183</v>
      </c>
      <c r="H172" t="s">
        <v>194</v>
      </c>
      <c r="I172" t="s">
        <v>183</v>
      </c>
      <c r="J172" t="s">
        <v>183</v>
      </c>
    </row>
    <row r="173" spans="2:10" x14ac:dyDescent="0.3">
      <c r="B173">
        <v>156</v>
      </c>
      <c r="C173" s="55">
        <v>27506.699864188478</v>
      </c>
      <c r="D173">
        <v>12</v>
      </c>
      <c r="E173" s="55">
        <v>40015.466326879323</v>
      </c>
      <c r="F173">
        <v>12</v>
      </c>
      <c r="G173" t="s">
        <v>183</v>
      </c>
      <c r="H173" t="s">
        <v>194</v>
      </c>
      <c r="I173" t="s">
        <v>183</v>
      </c>
      <c r="J173" t="s">
        <v>183</v>
      </c>
    </row>
    <row r="174" spans="2:10" x14ac:dyDescent="0.3">
      <c r="B174">
        <v>157</v>
      </c>
      <c r="C174" s="55">
        <v>44095.49187879001</v>
      </c>
      <c r="D174">
        <v>12</v>
      </c>
      <c r="E174" s="55">
        <v>40247.010695422956</v>
      </c>
      <c r="F174">
        <v>12</v>
      </c>
      <c r="G174" t="s">
        <v>183</v>
      </c>
      <c r="H174" t="s">
        <v>194</v>
      </c>
      <c r="I174" t="s">
        <v>183</v>
      </c>
      <c r="J174" t="s">
        <v>183</v>
      </c>
    </row>
    <row r="175" spans="2:10" x14ac:dyDescent="0.3">
      <c r="B175">
        <v>158</v>
      </c>
      <c r="C175" s="55">
        <v>38417.836666641822</v>
      </c>
      <c r="D175">
        <v>12</v>
      </c>
      <c r="E175" s="55">
        <v>25707.227045120628</v>
      </c>
      <c r="F175">
        <v>12</v>
      </c>
      <c r="G175" t="s">
        <v>183</v>
      </c>
      <c r="H175" t="s">
        <v>194</v>
      </c>
      <c r="I175" t="s">
        <v>183</v>
      </c>
      <c r="J175" t="s">
        <v>183</v>
      </c>
    </row>
    <row r="176" spans="2:10" x14ac:dyDescent="0.3">
      <c r="B176">
        <v>159</v>
      </c>
      <c r="C176" s="55">
        <v>34294.249057900233</v>
      </c>
      <c r="D176">
        <v>12</v>
      </c>
      <c r="E176" s="55">
        <v>31833.994057201853</v>
      </c>
      <c r="F176">
        <v>12</v>
      </c>
      <c r="G176" t="s">
        <v>183</v>
      </c>
      <c r="H176" t="s">
        <v>194</v>
      </c>
      <c r="I176" t="s">
        <v>183</v>
      </c>
      <c r="J176" t="s">
        <v>183</v>
      </c>
    </row>
    <row r="177" spans="2:10" x14ac:dyDescent="0.3">
      <c r="B177">
        <v>160</v>
      </c>
      <c r="C177" s="55">
        <v>25174.332949733835</v>
      </c>
      <c r="D177">
        <v>12</v>
      </c>
      <c r="E177" s="55">
        <v>46608.813475617346</v>
      </c>
      <c r="F177">
        <v>12</v>
      </c>
      <c r="G177" t="s">
        <v>183</v>
      </c>
      <c r="H177" t="s">
        <v>194</v>
      </c>
      <c r="I177" t="s">
        <v>183</v>
      </c>
      <c r="J177" t="s">
        <v>183</v>
      </c>
    </row>
    <row r="178" spans="2:10" x14ac:dyDescent="0.3">
      <c r="B178">
        <v>161</v>
      </c>
      <c r="C178" s="55">
        <v>27074.044281190654</v>
      </c>
      <c r="D178">
        <v>12</v>
      </c>
      <c r="E178" s="55">
        <v>36009.092498678197</v>
      </c>
      <c r="F178">
        <v>12</v>
      </c>
      <c r="G178" t="s">
        <v>183</v>
      </c>
      <c r="H178" t="s">
        <v>194</v>
      </c>
      <c r="I178" t="s">
        <v>183</v>
      </c>
      <c r="J178" t="s">
        <v>183</v>
      </c>
    </row>
    <row r="179" spans="2:10" x14ac:dyDescent="0.3">
      <c r="B179">
        <v>162</v>
      </c>
      <c r="C179" s="55">
        <v>24827.988590207016</v>
      </c>
      <c r="D179">
        <v>10</v>
      </c>
      <c r="E179" s="55">
        <v>47425.181654743916</v>
      </c>
      <c r="F179">
        <v>12</v>
      </c>
      <c r="G179" t="s">
        <v>183</v>
      </c>
      <c r="H179" t="s">
        <v>194</v>
      </c>
      <c r="I179" t="s">
        <v>183</v>
      </c>
      <c r="J179" t="s">
        <v>183</v>
      </c>
    </row>
    <row r="180" spans="2:10" x14ac:dyDescent="0.3">
      <c r="B180">
        <v>163</v>
      </c>
      <c r="C180" s="55">
        <v>20259.180580326894</v>
      </c>
      <c r="D180">
        <v>10</v>
      </c>
      <c r="E180" s="55">
        <v>37559.056164611844</v>
      </c>
      <c r="F180">
        <v>12</v>
      </c>
      <c r="G180" t="s">
        <v>183</v>
      </c>
      <c r="H180" t="s">
        <v>194</v>
      </c>
      <c r="I180" t="s">
        <v>183</v>
      </c>
      <c r="J180" t="s">
        <v>183</v>
      </c>
    </row>
    <row r="181" spans="2:10" x14ac:dyDescent="0.3">
      <c r="B181">
        <v>164</v>
      </c>
      <c r="C181" s="55">
        <v>43210.082890514692</v>
      </c>
      <c r="D181">
        <v>10</v>
      </c>
      <c r="E181" s="55">
        <v>32913.539363559219</v>
      </c>
      <c r="F181">
        <v>12</v>
      </c>
      <c r="G181" t="s">
        <v>183</v>
      </c>
      <c r="H181" t="s">
        <v>194</v>
      </c>
      <c r="I181" t="s">
        <v>183</v>
      </c>
      <c r="J181" t="s">
        <v>183</v>
      </c>
    </row>
    <row r="182" spans="2:10" x14ac:dyDescent="0.3">
      <c r="B182">
        <v>165</v>
      </c>
      <c r="C182" s="55">
        <v>21804.629992988514</v>
      </c>
      <c r="D182">
        <v>9</v>
      </c>
      <c r="E182" s="55">
        <v>29117.655973487381</v>
      </c>
      <c r="F182">
        <v>8</v>
      </c>
      <c r="G182" t="s">
        <v>183</v>
      </c>
      <c r="H182" t="s">
        <v>194</v>
      </c>
      <c r="I182" t="s">
        <v>183</v>
      </c>
      <c r="J182" t="s">
        <v>183</v>
      </c>
    </row>
    <row r="183" spans="2:10" x14ac:dyDescent="0.3">
      <c r="B183">
        <v>166</v>
      </c>
      <c r="C183" s="55">
        <v>26972.629277288615</v>
      </c>
      <c r="D183">
        <v>10</v>
      </c>
      <c r="E183" s="55">
        <v>28229.981067885768</v>
      </c>
      <c r="F183">
        <v>8</v>
      </c>
      <c r="G183" t="s">
        <v>183</v>
      </c>
      <c r="H183" t="s">
        <v>194</v>
      </c>
      <c r="I183" t="s">
        <v>183</v>
      </c>
      <c r="J183" t="s">
        <v>183</v>
      </c>
    </row>
    <row r="184" spans="2:10" x14ac:dyDescent="0.3">
      <c r="B184">
        <v>167</v>
      </c>
      <c r="C184" s="55">
        <v>24535.419303670846</v>
      </c>
      <c r="D184">
        <v>11</v>
      </c>
      <c r="E184" s="55">
        <v>21604.490133107713</v>
      </c>
      <c r="F184">
        <v>8</v>
      </c>
      <c r="G184" t="s">
        <v>183</v>
      </c>
      <c r="H184" t="s">
        <v>194</v>
      </c>
      <c r="I184" t="s">
        <v>183</v>
      </c>
      <c r="J184" t="s">
        <v>183</v>
      </c>
    </row>
    <row r="185" spans="2:10" x14ac:dyDescent="0.3">
      <c r="B185">
        <v>168</v>
      </c>
      <c r="C185" s="55">
        <v>37137.496934514907</v>
      </c>
      <c r="D185">
        <v>12</v>
      </c>
      <c r="E185" s="55">
        <v>19895.896245946904</v>
      </c>
      <c r="F185">
        <v>6</v>
      </c>
      <c r="G185" t="s">
        <v>183</v>
      </c>
      <c r="H185" t="s">
        <v>194</v>
      </c>
      <c r="I185" t="s">
        <v>183</v>
      </c>
      <c r="J185" t="s">
        <v>183</v>
      </c>
    </row>
    <row r="186" spans="2:10" x14ac:dyDescent="0.3">
      <c r="B186">
        <v>169</v>
      </c>
      <c r="C186" s="55">
        <v>19720.299528398224</v>
      </c>
      <c r="D186">
        <v>6</v>
      </c>
      <c r="E186" s="55">
        <v>18157.133872865281</v>
      </c>
      <c r="F186">
        <v>6</v>
      </c>
      <c r="G186" t="s">
        <v>183</v>
      </c>
      <c r="H186" t="s">
        <v>194</v>
      </c>
      <c r="I186" t="s">
        <v>183</v>
      </c>
      <c r="J186" t="s">
        <v>183</v>
      </c>
    </row>
    <row r="187" spans="2:10" x14ac:dyDescent="0.3">
      <c r="B187">
        <v>170</v>
      </c>
      <c r="C187" s="55">
        <v>16124.816648937147</v>
      </c>
      <c r="D187">
        <v>8</v>
      </c>
      <c r="E187" s="55">
        <v>34347.812070175707</v>
      </c>
      <c r="F187">
        <v>12</v>
      </c>
      <c r="G187" t="s">
        <v>183</v>
      </c>
      <c r="H187" t="s">
        <v>194</v>
      </c>
      <c r="I187" t="s">
        <v>183</v>
      </c>
      <c r="J187" t="s">
        <v>183</v>
      </c>
    </row>
    <row r="188" spans="2:10" x14ac:dyDescent="0.3">
      <c r="B188">
        <v>171</v>
      </c>
      <c r="C188" s="55">
        <v>41835.372587806552</v>
      </c>
      <c r="D188">
        <v>12</v>
      </c>
      <c r="E188" s="55">
        <v>33478.453645468588</v>
      </c>
      <c r="F188">
        <v>12</v>
      </c>
      <c r="G188" t="s">
        <v>194</v>
      </c>
      <c r="H188" t="s">
        <v>183</v>
      </c>
      <c r="I188" t="s">
        <v>183</v>
      </c>
      <c r="J188" t="s">
        <v>183</v>
      </c>
    </row>
    <row r="189" spans="2:10" x14ac:dyDescent="0.3">
      <c r="B189">
        <v>172</v>
      </c>
      <c r="C189" s="55">
        <v>20533.767058679034</v>
      </c>
      <c r="D189">
        <v>12</v>
      </c>
      <c r="E189" s="55">
        <v>49334.047058353899</v>
      </c>
      <c r="F189">
        <v>12</v>
      </c>
      <c r="G189" t="s">
        <v>194</v>
      </c>
      <c r="H189" t="s">
        <v>183</v>
      </c>
      <c r="I189" t="s">
        <v>183</v>
      </c>
      <c r="J189" t="s">
        <v>183</v>
      </c>
    </row>
    <row r="190" spans="2:10" x14ac:dyDescent="0.3">
      <c r="B190">
        <v>173</v>
      </c>
      <c r="C190" s="55">
        <v>23034.945346789966</v>
      </c>
      <c r="D190">
        <v>12</v>
      </c>
      <c r="E190" s="55">
        <v>43106.935088267404</v>
      </c>
      <c r="F190">
        <v>12</v>
      </c>
      <c r="G190" t="s">
        <v>194</v>
      </c>
      <c r="H190" t="s">
        <v>183</v>
      </c>
      <c r="I190" t="s">
        <v>183</v>
      </c>
      <c r="J190" t="s">
        <v>183</v>
      </c>
    </row>
    <row r="191" spans="2:10" x14ac:dyDescent="0.3">
      <c r="B191">
        <v>174</v>
      </c>
      <c r="C191" s="55">
        <v>58842.381309886216</v>
      </c>
      <c r="D191">
        <v>12</v>
      </c>
      <c r="E191" s="55">
        <v>56506.088762182022</v>
      </c>
      <c r="F191">
        <v>12</v>
      </c>
      <c r="G191" t="s">
        <v>194</v>
      </c>
      <c r="H191" t="s">
        <v>183</v>
      </c>
      <c r="I191" t="s">
        <v>183</v>
      </c>
      <c r="J191" t="s">
        <v>183</v>
      </c>
    </row>
    <row r="192" spans="2:10" x14ac:dyDescent="0.3">
      <c r="B192">
        <v>175</v>
      </c>
      <c r="C192" s="55">
        <v>38843.446187471534</v>
      </c>
      <c r="D192">
        <v>12</v>
      </c>
      <c r="E192" s="55">
        <v>45217.449753159875</v>
      </c>
      <c r="F192">
        <v>12</v>
      </c>
      <c r="G192" t="s">
        <v>194</v>
      </c>
      <c r="H192" t="s">
        <v>183</v>
      </c>
      <c r="I192" t="s">
        <v>183</v>
      </c>
      <c r="J192" t="s">
        <v>183</v>
      </c>
    </row>
    <row r="193" spans="2:10" x14ac:dyDescent="0.3">
      <c r="B193">
        <v>176</v>
      </c>
      <c r="C193" s="55">
        <v>40436.169290772472</v>
      </c>
      <c r="D193">
        <v>12</v>
      </c>
      <c r="E193" s="55">
        <v>40582.843841228932</v>
      </c>
      <c r="F193">
        <v>12</v>
      </c>
      <c r="G193" t="s">
        <v>194</v>
      </c>
      <c r="H193" t="s">
        <v>183</v>
      </c>
      <c r="I193" t="s">
        <v>183</v>
      </c>
      <c r="J193" t="s">
        <v>183</v>
      </c>
    </row>
    <row r="194" spans="2:10" x14ac:dyDescent="0.3">
      <c r="B194">
        <v>177</v>
      </c>
      <c r="C194" s="55">
        <v>35869.144387105909</v>
      </c>
      <c r="D194">
        <v>12</v>
      </c>
      <c r="E194" s="55">
        <v>46398.451269976635</v>
      </c>
      <c r="F194">
        <v>12</v>
      </c>
      <c r="G194" t="s">
        <v>194</v>
      </c>
      <c r="H194" t="s">
        <v>183</v>
      </c>
      <c r="I194" t="s">
        <v>183</v>
      </c>
      <c r="J194" t="s">
        <v>183</v>
      </c>
    </row>
    <row r="195" spans="2:10" x14ac:dyDescent="0.3">
      <c r="B195">
        <v>178</v>
      </c>
      <c r="C195" s="55">
        <v>42552.919773045141</v>
      </c>
      <c r="D195">
        <v>12</v>
      </c>
      <c r="E195" s="55">
        <v>37656.248026575471</v>
      </c>
      <c r="F195">
        <v>12</v>
      </c>
      <c r="G195" t="s">
        <v>194</v>
      </c>
      <c r="H195" t="s">
        <v>183</v>
      </c>
      <c r="I195" t="s">
        <v>183</v>
      </c>
      <c r="J195" t="s">
        <v>183</v>
      </c>
    </row>
    <row r="196" spans="2:10" x14ac:dyDescent="0.3">
      <c r="B196">
        <v>179</v>
      </c>
      <c r="C196" s="55">
        <v>34737.633783932557</v>
      </c>
      <c r="D196">
        <v>12</v>
      </c>
      <c r="E196" s="55">
        <v>52142.141577947128</v>
      </c>
      <c r="F196">
        <v>12</v>
      </c>
      <c r="G196" t="s">
        <v>194</v>
      </c>
      <c r="H196" t="s">
        <v>183</v>
      </c>
      <c r="I196" t="s">
        <v>183</v>
      </c>
      <c r="J196" t="s">
        <v>183</v>
      </c>
    </row>
    <row r="197" spans="2:10" x14ac:dyDescent="0.3">
      <c r="B197">
        <v>180</v>
      </c>
      <c r="C197" s="55">
        <v>25239.938103875666</v>
      </c>
      <c r="D197">
        <v>12</v>
      </c>
      <c r="E197" s="55">
        <v>46982.933396762994</v>
      </c>
      <c r="F197">
        <v>12</v>
      </c>
      <c r="G197" t="s">
        <v>194</v>
      </c>
      <c r="H197" t="s">
        <v>183</v>
      </c>
      <c r="I197" t="s">
        <v>183</v>
      </c>
      <c r="J197" t="s">
        <v>183</v>
      </c>
    </row>
    <row r="198" spans="2:10" x14ac:dyDescent="0.3">
      <c r="B198">
        <v>181</v>
      </c>
      <c r="C198" s="55">
        <v>31279.118969924595</v>
      </c>
      <c r="D198">
        <v>12</v>
      </c>
      <c r="E198" s="55">
        <v>46916.040640492844</v>
      </c>
      <c r="F198">
        <v>12</v>
      </c>
      <c r="G198" t="s">
        <v>194</v>
      </c>
      <c r="H198" t="s">
        <v>183</v>
      </c>
      <c r="I198" t="s">
        <v>183</v>
      </c>
      <c r="J198" t="s">
        <v>183</v>
      </c>
    </row>
    <row r="199" spans="2:10" x14ac:dyDescent="0.3">
      <c r="B199">
        <v>182</v>
      </c>
      <c r="C199" s="55">
        <v>48284.950892395376</v>
      </c>
      <c r="D199">
        <v>12</v>
      </c>
      <c r="E199" s="55">
        <v>28217.497593459662</v>
      </c>
      <c r="F199">
        <v>12</v>
      </c>
      <c r="G199" t="s">
        <v>194</v>
      </c>
      <c r="H199" t="s">
        <v>183</v>
      </c>
      <c r="I199" t="s">
        <v>183</v>
      </c>
      <c r="J199" t="s">
        <v>183</v>
      </c>
    </row>
    <row r="200" spans="2:10" x14ac:dyDescent="0.3">
      <c r="B200">
        <v>183</v>
      </c>
      <c r="C200" s="55">
        <v>35684.908020699011</v>
      </c>
      <c r="D200">
        <v>10</v>
      </c>
      <c r="E200" s="55">
        <v>24966.165396272194</v>
      </c>
      <c r="F200">
        <v>9</v>
      </c>
      <c r="G200" t="s">
        <v>194</v>
      </c>
      <c r="H200" t="s">
        <v>183</v>
      </c>
      <c r="I200" t="s">
        <v>183</v>
      </c>
      <c r="J200" t="s">
        <v>183</v>
      </c>
    </row>
    <row r="201" spans="2:10" x14ac:dyDescent="0.3">
      <c r="B201">
        <v>184</v>
      </c>
      <c r="C201" s="55">
        <v>25786.048505656319</v>
      </c>
      <c r="D201">
        <v>10</v>
      </c>
      <c r="E201" s="55">
        <v>48995.496094496484</v>
      </c>
      <c r="F201">
        <v>12</v>
      </c>
      <c r="G201" t="s">
        <v>194</v>
      </c>
      <c r="H201" t="s">
        <v>183</v>
      </c>
      <c r="I201" t="s">
        <v>183</v>
      </c>
      <c r="J201" t="s">
        <v>183</v>
      </c>
    </row>
    <row r="202" spans="2:10" x14ac:dyDescent="0.3">
      <c r="B202">
        <v>185</v>
      </c>
      <c r="C202" s="55">
        <v>20145.646264358475</v>
      </c>
      <c r="D202">
        <v>8</v>
      </c>
      <c r="E202" s="55">
        <v>44932.234908578066</v>
      </c>
      <c r="F202">
        <v>12</v>
      </c>
      <c r="G202" t="s">
        <v>194</v>
      </c>
      <c r="H202" t="s">
        <v>183</v>
      </c>
      <c r="I202" t="s">
        <v>183</v>
      </c>
      <c r="J202" t="s">
        <v>183</v>
      </c>
    </row>
    <row r="203" spans="2:10" x14ac:dyDescent="0.3">
      <c r="B203">
        <v>186</v>
      </c>
      <c r="C203" s="55">
        <v>21199.430285594146</v>
      </c>
      <c r="D203">
        <v>8</v>
      </c>
      <c r="E203" s="55">
        <v>40666.444903679301</v>
      </c>
      <c r="F203">
        <v>12</v>
      </c>
      <c r="G203" t="s">
        <v>194</v>
      </c>
      <c r="H203" t="s">
        <v>183</v>
      </c>
      <c r="I203" t="s">
        <v>183</v>
      </c>
      <c r="J203" t="s">
        <v>183</v>
      </c>
    </row>
    <row r="204" spans="2:10" x14ac:dyDescent="0.3">
      <c r="B204">
        <v>187</v>
      </c>
      <c r="C204" s="55">
        <v>26690.089756206096</v>
      </c>
      <c r="D204">
        <v>8</v>
      </c>
      <c r="E204" s="55">
        <v>23528.810096315479</v>
      </c>
      <c r="F204">
        <v>8</v>
      </c>
      <c r="G204" t="s">
        <v>194</v>
      </c>
      <c r="H204" t="s">
        <v>183</v>
      </c>
      <c r="I204" t="s">
        <v>183</v>
      </c>
      <c r="J204" t="s">
        <v>183</v>
      </c>
    </row>
    <row r="205" spans="2:10" x14ac:dyDescent="0.3">
      <c r="B205">
        <v>188</v>
      </c>
      <c r="C205" s="55">
        <v>25541.395741025834</v>
      </c>
      <c r="D205">
        <v>7</v>
      </c>
      <c r="E205" s="55">
        <v>36372.277588183824</v>
      </c>
      <c r="F205">
        <v>12</v>
      </c>
      <c r="G205" t="s">
        <v>194</v>
      </c>
      <c r="H205" t="s">
        <v>183</v>
      </c>
      <c r="I205" t="s">
        <v>183</v>
      </c>
      <c r="J205" t="s">
        <v>183</v>
      </c>
    </row>
    <row r="206" spans="2:10" x14ac:dyDescent="0.3">
      <c r="B206">
        <v>189</v>
      </c>
      <c r="C206" s="55">
        <v>19952.815739482103</v>
      </c>
      <c r="D206">
        <v>7</v>
      </c>
      <c r="E206" s="55">
        <v>38177.477836161735</v>
      </c>
      <c r="F206">
        <v>12</v>
      </c>
      <c r="G206" t="s">
        <v>194</v>
      </c>
      <c r="H206" t="s">
        <v>183</v>
      </c>
      <c r="I206" t="s">
        <v>183</v>
      </c>
      <c r="J206" t="s">
        <v>183</v>
      </c>
    </row>
    <row r="207" spans="2:10" x14ac:dyDescent="0.3">
      <c r="B207">
        <v>190</v>
      </c>
      <c r="C207" s="55">
        <v>25920.788546881569</v>
      </c>
      <c r="D207">
        <v>11</v>
      </c>
      <c r="E207" s="55">
        <v>29749.148169766919</v>
      </c>
      <c r="F207">
        <v>8</v>
      </c>
      <c r="G207" t="s">
        <v>194</v>
      </c>
      <c r="H207" t="s">
        <v>183</v>
      </c>
      <c r="I207" t="s">
        <v>183</v>
      </c>
      <c r="J207" t="s">
        <v>183</v>
      </c>
    </row>
    <row r="208" spans="2:10" x14ac:dyDescent="0.3">
      <c r="B208">
        <v>191</v>
      </c>
      <c r="C208" s="55">
        <v>37478.564124844357</v>
      </c>
      <c r="D208">
        <v>12</v>
      </c>
      <c r="E208" s="55">
        <v>48877.283392657613</v>
      </c>
      <c r="F208">
        <v>12</v>
      </c>
      <c r="G208" t="s">
        <v>183</v>
      </c>
      <c r="H208" t="s">
        <v>183</v>
      </c>
      <c r="I208" t="s">
        <v>183</v>
      </c>
      <c r="J208" t="s">
        <v>183</v>
      </c>
    </row>
    <row r="209" spans="2:10" x14ac:dyDescent="0.3">
      <c r="B209">
        <v>192</v>
      </c>
      <c r="C209" s="55">
        <v>29716.217913625376</v>
      </c>
      <c r="D209">
        <v>12</v>
      </c>
      <c r="E209" s="55">
        <v>33375.737087368776</v>
      </c>
      <c r="F209">
        <v>12</v>
      </c>
      <c r="G209" t="s">
        <v>183</v>
      </c>
      <c r="H209" t="s">
        <v>183</v>
      </c>
      <c r="I209" t="s">
        <v>183</v>
      </c>
      <c r="J209" t="s">
        <v>183</v>
      </c>
    </row>
    <row r="210" spans="2:10" x14ac:dyDescent="0.3">
      <c r="B210">
        <v>193</v>
      </c>
      <c r="C210" s="55">
        <v>41956.70976077798</v>
      </c>
      <c r="D210">
        <v>12</v>
      </c>
      <c r="E210" s="55">
        <v>38090.488774082049</v>
      </c>
      <c r="F210">
        <v>12</v>
      </c>
      <c r="G210" t="s">
        <v>183</v>
      </c>
      <c r="H210" t="s">
        <v>183</v>
      </c>
      <c r="I210" t="s">
        <v>183</v>
      </c>
      <c r="J210" t="s">
        <v>183</v>
      </c>
    </row>
    <row r="211" spans="2:10" x14ac:dyDescent="0.3">
      <c r="B211">
        <v>194</v>
      </c>
      <c r="C211" s="55">
        <v>42116.558103510659</v>
      </c>
      <c r="D211">
        <v>12</v>
      </c>
      <c r="E211" s="55">
        <v>40049.25735055004</v>
      </c>
      <c r="F211">
        <v>12</v>
      </c>
      <c r="G211" t="s">
        <v>183</v>
      </c>
      <c r="H211" t="s">
        <v>183</v>
      </c>
      <c r="I211" t="s">
        <v>183</v>
      </c>
      <c r="J211" t="s">
        <v>183</v>
      </c>
    </row>
    <row r="212" spans="2:10" x14ac:dyDescent="0.3">
      <c r="B212">
        <v>195</v>
      </c>
      <c r="C212" s="55">
        <v>38447.256971030074</v>
      </c>
      <c r="D212">
        <v>12</v>
      </c>
      <c r="E212" s="55">
        <v>23745.372972934711</v>
      </c>
      <c r="F212">
        <v>12</v>
      </c>
      <c r="G212" t="s">
        <v>183</v>
      </c>
      <c r="H212" t="s">
        <v>183</v>
      </c>
      <c r="I212" t="s">
        <v>183</v>
      </c>
      <c r="J212" t="s">
        <v>183</v>
      </c>
    </row>
    <row r="213" spans="2:10" x14ac:dyDescent="0.3">
      <c r="B213">
        <v>196</v>
      </c>
      <c r="C213" s="55">
        <v>43468.369585559776</v>
      </c>
      <c r="D213">
        <v>12</v>
      </c>
      <c r="E213" s="55">
        <v>35581.385745595835</v>
      </c>
      <c r="F213">
        <v>12</v>
      </c>
      <c r="G213" t="s">
        <v>183</v>
      </c>
      <c r="H213" t="s">
        <v>183</v>
      </c>
      <c r="I213" t="s">
        <v>183</v>
      </c>
      <c r="J213" t="s">
        <v>183</v>
      </c>
    </row>
    <row r="214" spans="2:10" x14ac:dyDescent="0.3">
      <c r="B214">
        <v>197</v>
      </c>
      <c r="C214" s="55">
        <v>46401.669639675732</v>
      </c>
      <c r="D214">
        <v>12</v>
      </c>
      <c r="E214" s="55">
        <v>47049.552666372772</v>
      </c>
      <c r="F214">
        <v>12</v>
      </c>
      <c r="G214" t="s">
        <v>183</v>
      </c>
      <c r="H214" t="s">
        <v>183</v>
      </c>
      <c r="I214" t="s">
        <v>183</v>
      </c>
      <c r="J214" t="s">
        <v>183</v>
      </c>
    </row>
    <row r="215" spans="2:10" x14ac:dyDescent="0.3">
      <c r="B215">
        <v>198</v>
      </c>
      <c r="C215" s="55">
        <v>41847.451297784814</v>
      </c>
      <c r="D215">
        <v>12</v>
      </c>
      <c r="E215" s="55">
        <v>49564.402047946991</v>
      </c>
      <c r="F215">
        <v>12</v>
      </c>
      <c r="G215" t="s">
        <v>183</v>
      </c>
      <c r="H215" t="s">
        <v>183</v>
      </c>
      <c r="I215" t="s">
        <v>183</v>
      </c>
      <c r="J215" t="s">
        <v>183</v>
      </c>
    </row>
    <row r="216" spans="2:10" x14ac:dyDescent="0.3">
      <c r="B216">
        <v>199</v>
      </c>
      <c r="C216" s="55">
        <v>35298.128131135963</v>
      </c>
      <c r="D216">
        <v>12</v>
      </c>
      <c r="E216" s="55">
        <v>32083.274885737621</v>
      </c>
      <c r="F216">
        <v>12</v>
      </c>
      <c r="G216" t="s">
        <v>183</v>
      </c>
      <c r="H216" t="s">
        <v>183</v>
      </c>
      <c r="I216" t="s">
        <v>183</v>
      </c>
      <c r="J216" t="s">
        <v>183</v>
      </c>
    </row>
    <row r="217" spans="2:10" x14ac:dyDescent="0.3">
      <c r="B217">
        <v>200</v>
      </c>
      <c r="C217" s="55">
        <v>42312.531498947399</v>
      </c>
      <c r="D217">
        <v>12</v>
      </c>
      <c r="E217" s="55">
        <v>43138.717241601946</v>
      </c>
      <c r="F217">
        <v>12</v>
      </c>
      <c r="G217" t="s">
        <v>183</v>
      </c>
      <c r="H217" t="s">
        <v>183</v>
      </c>
      <c r="I217" t="s">
        <v>183</v>
      </c>
      <c r="J217" t="s">
        <v>183</v>
      </c>
    </row>
    <row r="218" spans="2:10" x14ac:dyDescent="0.3">
      <c r="B218">
        <v>201</v>
      </c>
      <c r="C218" s="55">
        <v>46457.407453017979</v>
      </c>
      <c r="D218">
        <v>12</v>
      </c>
      <c r="E218" s="55">
        <v>26616.601947681549</v>
      </c>
      <c r="F218">
        <v>12</v>
      </c>
      <c r="G218" t="s">
        <v>183</v>
      </c>
      <c r="H218" t="s">
        <v>183</v>
      </c>
      <c r="I218" t="s">
        <v>183</v>
      </c>
      <c r="J218" t="s">
        <v>183</v>
      </c>
    </row>
    <row r="219" spans="2:10" x14ac:dyDescent="0.3">
      <c r="B219">
        <v>202</v>
      </c>
      <c r="C219" s="55">
        <v>40372.25265268689</v>
      </c>
      <c r="D219">
        <v>12</v>
      </c>
      <c r="E219" s="55">
        <v>30427.944149773459</v>
      </c>
      <c r="F219">
        <v>12</v>
      </c>
      <c r="G219" t="s">
        <v>183</v>
      </c>
      <c r="H219" t="s">
        <v>183</v>
      </c>
      <c r="I219" t="s">
        <v>183</v>
      </c>
      <c r="J219" t="s">
        <v>183</v>
      </c>
    </row>
    <row r="220" spans="2:10" x14ac:dyDescent="0.3">
      <c r="B220">
        <v>203</v>
      </c>
      <c r="C220" s="55">
        <v>45764.05516045355</v>
      </c>
      <c r="D220">
        <v>12</v>
      </c>
      <c r="E220" s="55">
        <v>25566.121088747812</v>
      </c>
      <c r="F220">
        <v>12</v>
      </c>
      <c r="G220" t="s">
        <v>183</v>
      </c>
      <c r="H220" t="s">
        <v>183</v>
      </c>
      <c r="I220" t="s">
        <v>183</v>
      </c>
      <c r="J220" t="s">
        <v>183</v>
      </c>
    </row>
    <row r="221" spans="2:10" x14ac:dyDescent="0.3">
      <c r="B221">
        <v>204</v>
      </c>
      <c r="C221" s="55">
        <v>53083.871799730638</v>
      </c>
      <c r="D221">
        <v>12</v>
      </c>
      <c r="E221" s="55">
        <v>39127.267535330393</v>
      </c>
      <c r="F221">
        <v>12</v>
      </c>
      <c r="G221" t="s">
        <v>183</v>
      </c>
      <c r="H221" t="s">
        <v>183</v>
      </c>
      <c r="I221" t="s">
        <v>183</v>
      </c>
      <c r="J221" t="s">
        <v>183</v>
      </c>
    </row>
    <row r="222" spans="2:10" x14ac:dyDescent="0.3">
      <c r="B222">
        <v>205</v>
      </c>
      <c r="C222" s="55">
        <v>48132.504273124352</v>
      </c>
      <c r="D222">
        <v>12</v>
      </c>
      <c r="E222" s="55">
        <v>37289.205189818611</v>
      </c>
      <c r="F222">
        <v>12</v>
      </c>
      <c r="G222" t="s">
        <v>183</v>
      </c>
      <c r="H222" t="s">
        <v>183</v>
      </c>
      <c r="I222" t="s">
        <v>183</v>
      </c>
      <c r="J222" t="s">
        <v>183</v>
      </c>
    </row>
    <row r="223" spans="2:10" x14ac:dyDescent="0.3">
      <c r="B223">
        <v>206</v>
      </c>
      <c r="C223" s="55">
        <v>49599.154478604934</v>
      </c>
      <c r="D223">
        <v>12</v>
      </c>
      <c r="E223" s="55">
        <v>34141.010404105997</v>
      </c>
      <c r="F223">
        <v>12</v>
      </c>
      <c r="G223" t="s">
        <v>183</v>
      </c>
      <c r="H223" t="s">
        <v>183</v>
      </c>
      <c r="I223" t="s">
        <v>183</v>
      </c>
      <c r="J223" t="s">
        <v>183</v>
      </c>
    </row>
    <row r="224" spans="2:10" x14ac:dyDescent="0.3">
      <c r="B224">
        <v>207</v>
      </c>
      <c r="C224" s="55">
        <v>34417.450096441236</v>
      </c>
      <c r="D224">
        <v>12</v>
      </c>
      <c r="E224" s="55">
        <v>34498.33783890833</v>
      </c>
      <c r="F224">
        <v>12</v>
      </c>
      <c r="G224" t="s">
        <v>183</v>
      </c>
      <c r="H224" t="s">
        <v>183</v>
      </c>
      <c r="I224" t="s">
        <v>183</v>
      </c>
      <c r="J224" t="s">
        <v>183</v>
      </c>
    </row>
    <row r="225" spans="2:10" x14ac:dyDescent="0.3">
      <c r="B225">
        <v>208</v>
      </c>
      <c r="C225" s="55">
        <v>35924.371546635492</v>
      </c>
      <c r="D225">
        <v>10</v>
      </c>
      <c r="E225" s="55">
        <v>36723.686664705434</v>
      </c>
      <c r="F225">
        <v>10</v>
      </c>
      <c r="G225" t="s">
        <v>183</v>
      </c>
      <c r="H225" t="s">
        <v>183</v>
      </c>
      <c r="I225" t="s">
        <v>183</v>
      </c>
      <c r="J225" t="s">
        <v>183</v>
      </c>
    </row>
    <row r="226" spans="2:10" x14ac:dyDescent="0.3">
      <c r="B226">
        <v>209</v>
      </c>
      <c r="C226" s="55">
        <v>26792.082358480468</v>
      </c>
      <c r="D226">
        <v>9</v>
      </c>
      <c r="E226" s="55">
        <v>47718.085519267494</v>
      </c>
      <c r="F226">
        <v>12</v>
      </c>
      <c r="G226" t="s">
        <v>183</v>
      </c>
      <c r="H226" t="s">
        <v>183</v>
      </c>
      <c r="I226" t="s">
        <v>183</v>
      </c>
      <c r="J226" t="s">
        <v>183</v>
      </c>
    </row>
    <row r="227" spans="2:10" x14ac:dyDescent="0.3">
      <c r="B227">
        <v>210</v>
      </c>
      <c r="C227" s="55">
        <v>35470.817779807185</v>
      </c>
      <c r="D227">
        <v>12</v>
      </c>
      <c r="E227" s="55">
        <v>34386.068039967802</v>
      </c>
      <c r="F227">
        <v>8</v>
      </c>
      <c r="G227" t="s">
        <v>183</v>
      </c>
      <c r="H227" t="s">
        <v>183</v>
      </c>
      <c r="I227" t="s">
        <v>183</v>
      </c>
      <c r="J227" t="s">
        <v>183</v>
      </c>
    </row>
    <row r="228" spans="2:10" x14ac:dyDescent="0.3">
      <c r="B228">
        <v>211</v>
      </c>
      <c r="C228" s="55">
        <v>46654.751083890973</v>
      </c>
      <c r="D228">
        <v>12</v>
      </c>
      <c r="E228" s="55">
        <v>48339.350811315213</v>
      </c>
      <c r="F228">
        <v>12</v>
      </c>
      <c r="G228" t="s">
        <v>183</v>
      </c>
      <c r="H228" t="s">
        <v>183</v>
      </c>
      <c r="I228" t="s">
        <v>194</v>
      </c>
      <c r="J228" t="s">
        <v>183</v>
      </c>
    </row>
    <row r="229" spans="2:10" x14ac:dyDescent="0.3">
      <c r="B229">
        <v>212</v>
      </c>
      <c r="C229" s="55">
        <v>59342.242656079456</v>
      </c>
      <c r="D229">
        <v>12</v>
      </c>
      <c r="E229" s="55">
        <v>38913.112388236834</v>
      </c>
      <c r="F229">
        <v>12</v>
      </c>
      <c r="G229" t="s">
        <v>183</v>
      </c>
      <c r="H229" t="s">
        <v>183</v>
      </c>
      <c r="I229" t="s">
        <v>194</v>
      </c>
      <c r="J229" t="s">
        <v>183</v>
      </c>
    </row>
    <row r="230" spans="2:10" x14ac:dyDescent="0.3">
      <c r="B230">
        <v>213</v>
      </c>
      <c r="C230" s="55">
        <v>44760.456696663408</v>
      </c>
      <c r="D230">
        <v>12</v>
      </c>
      <c r="E230" s="55">
        <v>45807.522356874251</v>
      </c>
      <c r="F230">
        <v>12</v>
      </c>
      <c r="G230" t="s">
        <v>183</v>
      </c>
      <c r="H230" t="s">
        <v>183</v>
      </c>
      <c r="I230" t="s">
        <v>194</v>
      </c>
      <c r="J230" t="s">
        <v>183</v>
      </c>
    </row>
    <row r="231" spans="2:10" x14ac:dyDescent="0.3">
      <c r="B231">
        <v>214</v>
      </c>
      <c r="C231" s="55">
        <v>22473.799052568029</v>
      </c>
      <c r="D231">
        <v>12</v>
      </c>
      <c r="E231" s="55">
        <v>35546.95546714653</v>
      </c>
      <c r="F231">
        <v>12</v>
      </c>
      <c r="G231" t="s">
        <v>183</v>
      </c>
      <c r="H231" t="s">
        <v>183</v>
      </c>
      <c r="I231" t="s">
        <v>194</v>
      </c>
      <c r="J231" t="s">
        <v>183</v>
      </c>
    </row>
    <row r="232" spans="2:10" x14ac:dyDescent="0.3">
      <c r="B232">
        <v>215</v>
      </c>
      <c r="C232" s="55">
        <v>33821.019589362433</v>
      </c>
      <c r="D232">
        <v>12</v>
      </c>
      <c r="E232" s="55">
        <v>35184.150257095695</v>
      </c>
      <c r="F232">
        <v>12</v>
      </c>
      <c r="G232" t="s">
        <v>183</v>
      </c>
      <c r="H232" t="s">
        <v>183</v>
      </c>
      <c r="I232" t="s">
        <v>194</v>
      </c>
      <c r="J232" t="s">
        <v>183</v>
      </c>
    </row>
    <row r="233" spans="2:10" x14ac:dyDescent="0.3">
      <c r="B233">
        <v>216</v>
      </c>
      <c r="C233" s="55">
        <v>47369.406206647451</v>
      </c>
      <c r="D233">
        <v>12</v>
      </c>
      <c r="E233" s="55">
        <v>33391.757883725222</v>
      </c>
      <c r="F233">
        <v>12</v>
      </c>
      <c r="G233" t="s">
        <v>183</v>
      </c>
      <c r="H233" t="s">
        <v>183</v>
      </c>
      <c r="I233" t="s">
        <v>194</v>
      </c>
      <c r="J233" t="s">
        <v>183</v>
      </c>
    </row>
    <row r="234" spans="2:10" x14ac:dyDescent="0.3">
      <c r="B234">
        <v>217</v>
      </c>
      <c r="C234" s="55">
        <v>31594.915315696762</v>
      </c>
      <c r="D234">
        <v>12</v>
      </c>
      <c r="E234" s="55">
        <v>39721.192753447351</v>
      </c>
      <c r="F234">
        <v>12</v>
      </c>
      <c r="G234" t="s">
        <v>183</v>
      </c>
      <c r="H234" t="s">
        <v>183</v>
      </c>
      <c r="I234" t="s">
        <v>194</v>
      </c>
      <c r="J234" t="s">
        <v>183</v>
      </c>
    </row>
    <row r="235" spans="2:10" x14ac:dyDescent="0.3">
      <c r="B235">
        <v>218</v>
      </c>
      <c r="C235" s="55">
        <v>47935.526877373501</v>
      </c>
      <c r="D235">
        <v>12</v>
      </c>
      <c r="E235" s="55">
        <v>34263.258618683634</v>
      </c>
      <c r="F235">
        <v>12</v>
      </c>
      <c r="G235" t="s">
        <v>183</v>
      </c>
      <c r="H235" t="s">
        <v>183</v>
      </c>
      <c r="I235" t="s">
        <v>194</v>
      </c>
      <c r="J235" t="s">
        <v>183</v>
      </c>
    </row>
    <row r="236" spans="2:10" x14ac:dyDescent="0.3">
      <c r="B236">
        <v>219</v>
      </c>
      <c r="C236" s="55">
        <v>46172.472633447891</v>
      </c>
      <c r="D236">
        <v>12</v>
      </c>
      <c r="E236" s="55">
        <v>52298.284929617163</v>
      </c>
      <c r="F236">
        <v>12</v>
      </c>
      <c r="G236" t="s">
        <v>183</v>
      </c>
      <c r="H236" t="s">
        <v>183</v>
      </c>
      <c r="I236" t="s">
        <v>194</v>
      </c>
      <c r="J236" t="s">
        <v>183</v>
      </c>
    </row>
    <row r="237" spans="2:10" x14ac:dyDescent="0.3">
      <c r="B237">
        <v>220</v>
      </c>
      <c r="C237" s="55">
        <v>35240.036278941559</v>
      </c>
      <c r="D237">
        <v>12</v>
      </c>
      <c r="E237" s="55">
        <v>52201.719191569719</v>
      </c>
      <c r="F237">
        <v>12</v>
      </c>
      <c r="G237" t="s">
        <v>183</v>
      </c>
      <c r="H237" t="s">
        <v>183</v>
      </c>
      <c r="I237" t="s">
        <v>194</v>
      </c>
      <c r="J237" t="s">
        <v>183</v>
      </c>
    </row>
    <row r="238" spans="2:10" x14ac:dyDescent="0.3">
      <c r="B238">
        <v>221</v>
      </c>
      <c r="C238" s="55">
        <v>45490.206651204891</v>
      </c>
      <c r="D238">
        <v>12</v>
      </c>
      <c r="E238" s="55">
        <v>31822.285236692733</v>
      </c>
      <c r="F238">
        <v>12</v>
      </c>
      <c r="G238" t="s">
        <v>183</v>
      </c>
      <c r="H238" t="s">
        <v>183</v>
      </c>
      <c r="I238" t="s">
        <v>194</v>
      </c>
      <c r="J238" t="s">
        <v>183</v>
      </c>
    </row>
    <row r="239" spans="2:10" x14ac:dyDescent="0.3">
      <c r="B239">
        <v>222</v>
      </c>
      <c r="C239" s="55">
        <v>42105.365969263657</v>
      </c>
      <c r="D239">
        <v>10</v>
      </c>
      <c r="E239" s="55">
        <v>30877.51148075044</v>
      </c>
      <c r="F239">
        <v>10</v>
      </c>
      <c r="G239" t="s">
        <v>183</v>
      </c>
      <c r="H239" t="s">
        <v>183</v>
      </c>
      <c r="I239" t="s">
        <v>194</v>
      </c>
      <c r="J239" t="s">
        <v>183</v>
      </c>
    </row>
    <row r="240" spans="2:10" x14ac:dyDescent="0.3">
      <c r="B240">
        <v>223</v>
      </c>
      <c r="C240" s="55">
        <v>41060.944764197666</v>
      </c>
      <c r="D240">
        <v>10</v>
      </c>
      <c r="E240" s="55">
        <v>31155.107059076679</v>
      </c>
      <c r="F240">
        <v>9</v>
      </c>
      <c r="G240" t="s">
        <v>183</v>
      </c>
      <c r="H240" t="s">
        <v>183</v>
      </c>
      <c r="I240" t="s">
        <v>194</v>
      </c>
      <c r="J240" t="s">
        <v>183</v>
      </c>
    </row>
    <row r="241" spans="2:10" x14ac:dyDescent="0.3">
      <c r="B241">
        <v>224</v>
      </c>
      <c r="C241" s="55">
        <v>28887.309309071854</v>
      </c>
      <c r="D241">
        <v>10</v>
      </c>
      <c r="E241" s="55">
        <v>47101.918840494734</v>
      </c>
      <c r="F241">
        <v>12</v>
      </c>
      <c r="G241" t="s">
        <v>183</v>
      </c>
      <c r="H241" t="s">
        <v>183</v>
      </c>
      <c r="I241" t="s">
        <v>194</v>
      </c>
      <c r="J241" t="s">
        <v>183</v>
      </c>
    </row>
    <row r="242" spans="2:10" x14ac:dyDescent="0.3">
      <c r="B242">
        <v>225</v>
      </c>
      <c r="C242" s="55">
        <v>32358.054429985652</v>
      </c>
      <c r="D242">
        <v>8</v>
      </c>
      <c r="E242" s="55">
        <v>17307.727541528475</v>
      </c>
      <c r="F242">
        <v>6</v>
      </c>
      <c r="G242" t="s">
        <v>183</v>
      </c>
      <c r="H242" t="s">
        <v>183</v>
      </c>
      <c r="I242" t="s">
        <v>194</v>
      </c>
      <c r="J242" t="s">
        <v>183</v>
      </c>
    </row>
    <row r="243" spans="2:10" x14ac:dyDescent="0.3">
      <c r="B243">
        <v>226</v>
      </c>
      <c r="C243" s="55">
        <v>25586.1269417761</v>
      </c>
      <c r="D243">
        <v>8</v>
      </c>
      <c r="E243" s="55">
        <v>48995.6019025981</v>
      </c>
      <c r="F243">
        <v>12</v>
      </c>
      <c r="G243" t="s">
        <v>183</v>
      </c>
      <c r="H243" t="s">
        <v>183</v>
      </c>
      <c r="I243" t="s">
        <v>194</v>
      </c>
      <c r="J243" t="s">
        <v>183</v>
      </c>
    </row>
    <row r="244" spans="2:10" x14ac:dyDescent="0.3">
      <c r="B244">
        <v>227</v>
      </c>
      <c r="C244" s="55">
        <v>26460.766762171359</v>
      </c>
      <c r="D244">
        <v>8</v>
      </c>
      <c r="E244" s="55">
        <v>50694.616016898159</v>
      </c>
      <c r="F244">
        <v>12</v>
      </c>
      <c r="G244" t="s">
        <v>183</v>
      </c>
      <c r="H244" t="s">
        <v>183</v>
      </c>
      <c r="I244" t="s">
        <v>194</v>
      </c>
      <c r="J244" t="s">
        <v>183</v>
      </c>
    </row>
    <row r="245" spans="2:10" x14ac:dyDescent="0.3">
      <c r="B245">
        <v>228</v>
      </c>
      <c r="C245" s="55">
        <v>21493.569064392061</v>
      </c>
      <c r="D245">
        <v>9</v>
      </c>
      <c r="E245" s="55">
        <v>46370.467052555425</v>
      </c>
      <c r="F245">
        <v>12</v>
      </c>
      <c r="G245" t="s">
        <v>183</v>
      </c>
      <c r="H245" t="s">
        <v>183</v>
      </c>
      <c r="I245" t="s">
        <v>194</v>
      </c>
      <c r="J245" t="s">
        <v>183</v>
      </c>
    </row>
    <row r="246" spans="2:10" x14ac:dyDescent="0.3">
      <c r="B246">
        <v>229</v>
      </c>
      <c r="C246" s="55">
        <v>43915.154359067499</v>
      </c>
      <c r="D246">
        <v>11</v>
      </c>
      <c r="E246" s="55">
        <v>44976.482651302758</v>
      </c>
      <c r="F246">
        <v>12</v>
      </c>
      <c r="G246" t="s">
        <v>183</v>
      </c>
      <c r="H246" t="s">
        <v>183</v>
      </c>
      <c r="I246" t="s">
        <v>194</v>
      </c>
      <c r="J246" t="s">
        <v>183</v>
      </c>
    </row>
    <row r="247" spans="2:10" x14ac:dyDescent="0.3">
      <c r="B247">
        <v>230</v>
      </c>
      <c r="C247" s="55">
        <v>32837.504831241902</v>
      </c>
      <c r="D247">
        <v>11</v>
      </c>
      <c r="E247" s="55">
        <v>35480.769527983197</v>
      </c>
      <c r="F247">
        <v>8</v>
      </c>
      <c r="G247" t="s">
        <v>183</v>
      </c>
      <c r="H247" t="s">
        <v>183</v>
      </c>
      <c r="I247" t="s">
        <v>194</v>
      </c>
      <c r="J247" t="s">
        <v>183</v>
      </c>
    </row>
    <row r="248" spans="2:10" x14ac:dyDescent="0.3">
      <c r="B248">
        <v>231</v>
      </c>
      <c r="C248" s="55">
        <v>44784.829203288115</v>
      </c>
      <c r="D248">
        <v>12</v>
      </c>
      <c r="E248" s="55">
        <v>51539.208394630376</v>
      </c>
      <c r="F248">
        <v>12</v>
      </c>
      <c r="G248" t="s">
        <v>183</v>
      </c>
      <c r="H248" t="s">
        <v>183</v>
      </c>
      <c r="I248" t="s">
        <v>183</v>
      </c>
      <c r="J248" t="s">
        <v>194</v>
      </c>
    </row>
    <row r="249" spans="2:10" x14ac:dyDescent="0.3">
      <c r="B249">
        <v>232</v>
      </c>
      <c r="C249" s="55">
        <v>47249.12875876516</v>
      </c>
      <c r="D249">
        <v>12</v>
      </c>
      <c r="E249" s="55">
        <v>48789.455180400386</v>
      </c>
      <c r="F249">
        <v>12</v>
      </c>
      <c r="G249" t="s">
        <v>183</v>
      </c>
      <c r="H249" t="s">
        <v>183</v>
      </c>
      <c r="I249" t="s">
        <v>183</v>
      </c>
      <c r="J249" t="s">
        <v>194</v>
      </c>
    </row>
    <row r="250" spans="2:10" x14ac:dyDescent="0.3">
      <c r="B250">
        <v>233</v>
      </c>
      <c r="C250" s="55">
        <v>53838.145744066118</v>
      </c>
      <c r="D250">
        <v>12</v>
      </c>
      <c r="E250" s="55">
        <v>38416.367872325165</v>
      </c>
      <c r="F250">
        <v>12</v>
      </c>
      <c r="G250" t="s">
        <v>183</v>
      </c>
      <c r="H250" t="s">
        <v>183</v>
      </c>
      <c r="I250" t="s">
        <v>183</v>
      </c>
      <c r="J250" t="s">
        <v>194</v>
      </c>
    </row>
    <row r="251" spans="2:10" x14ac:dyDescent="0.3">
      <c r="B251">
        <v>234</v>
      </c>
      <c r="C251" s="55">
        <v>39008.495983317312</v>
      </c>
      <c r="D251">
        <v>12</v>
      </c>
      <c r="E251" s="55">
        <v>39443.192435082208</v>
      </c>
      <c r="F251">
        <v>12</v>
      </c>
      <c r="G251" t="s">
        <v>183</v>
      </c>
      <c r="H251" t="s">
        <v>183</v>
      </c>
      <c r="I251" t="s">
        <v>183</v>
      </c>
      <c r="J251" t="s">
        <v>194</v>
      </c>
    </row>
    <row r="252" spans="2:10" x14ac:dyDescent="0.3">
      <c r="B252">
        <v>235</v>
      </c>
      <c r="C252" s="55">
        <v>56239.962187376848</v>
      </c>
      <c r="D252">
        <v>12</v>
      </c>
      <c r="E252" s="55">
        <v>38784.316526925744</v>
      </c>
      <c r="F252">
        <v>12</v>
      </c>
      <c r="G252" t="s">
        <v>183</v>
      </c>
      <c r="H252" t="s">
        <v>183</v>
      </c>
      <c r="I252" t="s">
        <v>183</v>
      </c>
      <c r="J252" t="s">
        <v>194</v>
      </c>
    </row>
    <row r="253" spans="2:10" x14ac:dyDescent="0.3">
      <c r="B253">
        <v>236</v>
      </c>
      <c r="C253" s="55">
        <v>30652.509628933229</v>
      </c>
      <c r="D253">
        <v>12</v>
      </c>
      <c r="E253" s="55">
        <v>44218.92277282782</v>
      </c>
      <c r="F253">
        <v>12</v>
      </c>
      <c r="G253" t="s">
        <v>183</v>
      </c>
      <c r="H253" t="s">
        <v>183</v>
      </c>
      <c r="I253" t="s">
        <v>183</v>
      </c>
      <c r="J253" t="s">
        <v>194</v>
      </c>
    </row>
    <row r="254" spans="2:10" x14ac:dyDescent="0.3">
      <c r="B254">
        <v>237</v>
      </c>
      <c r="C254" s="55">
        <v>35888.291169882737</v>
      </c>
      <c r="D254">
        <v>12</v>
      </c>
      <c r="E254" s="55">
        <v>40492.766066833145</v>
      </c>
      <c r="F254">
        <v>12</v>
      </c>
      <c r="G254" t="s">
        <v>183</v>
      </c>
      <c r="H254" t="s">
        <v>183</v>
      </c>
      <c r="I254" t="s">
        <v>183</v>
      </c>
      <c r="J254" t="s">
        <v>194</v>
      </c>
    </row>
    <row r="255" spans="2:10" x14ac:dyDescent="0.3">
      <c r="B255">
        <v>238</v>
      </c>
      <c r="C255" s="55">
        <v>33041.090324379911</v>
      </c>
      <c r="D255">
        <v>12</v>
      </c>
      <c r="E255" s="55">
        <v>37270.044648701049</v>
      </c>
      <c r="F255">
        <v>12</v>
      </c>
      <c r="G255" t="s">
        <v>183</v>
      </c>
      <c r="H255" t="s">
        <v>183</v>
      </c>
      <c r="I255" t="s">
        <v>183</v>
      </c>
      <c r="J255" t="s">
        <v>194</v>
      </c>
    </row>
    <row r="256" spans="2:10" x14ac:dyDescent="0.3">
      <c r="B256">
        <v>239</v>
      </c>
      <c r="C256" s="55">
        <v>60986.464778886169</v>
      </c>
      <c r="D256">
        <v>12</v>
      </c>
      <c r="E256" s="55">
        <v>50392.416378781178</v>
      </c>
      <c r="F256">
        <v>12</v>
      </c>
      <c r="G256" t="s">
        <v>183</v>
      </c>
      <c r="H256" t="s">
        <v>183</v>
      </c>
      <c r="I256" t="s">
        <v>183</v>
      </c>
      <c r="J256" t="s">
        <v>194</v>
      </c>
    </row>
    <row r="257" spans="2:10" x14ac:dyDescent="0.3">
      <c r="B257">
        <v>240</v>
      </c>
      <c r="C257" s="55">
        <v>45926.830647107505</v>
      </c>
      <c r="D257">
        <v>12</v>
      </c>
      <c r="E257" s="55">
        <v>36740.865470171266</v>
      </c>
      <c r="F257">
        <v>12</v>
      </c>
      <c r="G257" t="s">
        <v>183</v>
      </c>
      <c r="H257" t="s">
        <v>183</v>
      </c>
      <c r="I257" t="s">
        <v>183</v>
      </c>
      <c r="J257" t="s">
        <v>194</v>
      </c>
    </row>
    <row r="258" spans="2:10" x14ac:dyDescent="0.3">
      <c r="B258">
        <v>241</v>
      </c>
      <c r="C258" s="55">
        <v>52149.651667823622</v>
      </c>
      <c r="D258">
        <v>12</v>
      </c>
      <c r="E258" s="55">
        <v>32697.72530877871</v>
      </c>
      <c r="F258">
        <v>12</v>
      </c>
      <c r="G258" t="s">
        <v>183</v>
      </c>
      <c r="H258" t="s">
        <v>183</v>
      </c>
      <c r="I258" t="s">
        <v>183</v>
      </c>
      <c r="J258" t="s">
        <v>194</v>
      </c>
    </row>
    <row r="259" spans="2:10" x14ac:dyDescent="0.3">
      <c r="B259">
        <v>242</v>
      </c>
      <c r="C259" s="55">
        <v>44589.861377945301</v>
      </c>
      <c r="D259">
        <v>12</v>
      </c>
      <c r="E259" s="55">
        <v>45263.370699535764</v>
      </c>
      <c r="F259">
        <v>12</v>
      </c>
      <c r="G259" t="s">
        <v>183</v>
      </c>
      <c r="H259" t="s">
        <v>183</v>
      </c>
      <c r="I259" t="s">
        <v>183</v>
      </c>
      <c r="J259" t="s">
        <v>194</v>
      </c>
    </row>
    <row r="260" spans="2:10" x14ac:dyDescent="0.3">
      <c r="B260">
        <v>243</v>
      </c>
      <c r="C260" s="55">
        <v>46439.197370541995</v>
      </c>
      <c r="D260">
        <v>12</v>
      </c>
      <c r="E260" s="55">
        <v>48531.908586816477</v>
      </c>
      <c r="F260">
        <v>12</v>
      </c>
      <c r="G260" t="s">
        <v>183</v>
      </c>
      <c r="H260" t="s">
        <v>183</v>
      </c>
      <c r="I260" t="s">
        <v>183</v>
      </c>
      <c r="J260" t="s">
        <v>194</v>
      </c>
    </row>
    <row r="261" spans="2:10" x14ac:dyDescent="0.3">
      <c r="B261">
        <v>244</v>
      </c>
      <c r="C261" s="55">
        <v>29762.193561361524</v>
      </c>
      <c r="D261">
        <v>10</v>
      </c>
      <c r="E261" s="55">
        <v>32142.003866965872</v>
      </c>
      <c r="F261">
        <v>12</v>
      </c>
      <c r="G261" t="s">
        <v>183</v>
      </c>
      <c r="H261" t="s">
        <v>183</v>
      </c>
      <c r="I261" t="s">
        <v>183</v>
      </c>
      <c r="J261" t="s">
        <v>194</v>
      </c>
    </row>
    <row r="262" spans="2:10" x14ac:dyDescent="0.3">
      <c r="B262">
        <v>245</v>
      </c>
      <c r="C262" s="55">
        <v>36182.550069136021</v>
      </c>
      <c r="D262">
        <v>10</v>
      </c>
      <c r="E262" s="55">
        <v>39961.621412595363</v>
      </c>
      <c r="F262">
        <v>11</v>
      </c>
      <c r="G262" t="s">
        <v>183</v>
      </c>
      <c r="H262" t="s">
        <v>183</v>
      </c>
      <c r="I262" t="s">
        <v>183</v>
      </c>
      <c r="J262" t="s">
        <v>194</v>
      </c>
    </row>
    <row r="263" spans="2:10" x14ac:dyDescent="0.3">
      <c r="B263">
        <v>246</v>
      </c>
      <c r="C263" s="55">
        <v>25423.516558206094</v>
      </c>
      <c r="D263">
        <v>8</v>
      </c>
      <c r="E263" s="55">
        <v>42519.306126938056</v>
      </c>
      <c r="F263">
        <v>12</v>
      </c>
      <c r="G263" t="s">
        <v>183</v>
      </c>
      <c r="H263" t="s">
        <v>183</v>
      </c>
      <c r="I263" t="s">
        <v>183</v>
      </c>
      <c r="J263" t="s">
        <v>194</v>
      </c>
    </row>
    <row r="264" spans="2:10" x14ac:dyDescent="0.3">
      <c r="B264">
        <v>247</v>
      </c>
      <c r="C264" s="55">
        <v>28297.949040520514</v>
      </c>
      <c r="D264">
        <v>8</v>
      </c>
      <c r="E264" s="55">
        <v>41984.676224182906</v>
      </c>
      <c r="F264">
        <v>12</v>
      </c>
      <c r="G264" t="s">
        <v>183</v>
      </c>
      <c r="H264" t="s">
        <v>183</v>
      </c>
      <c r="I264" t="s">
        <v>183</v>
      </c>
      <c r="J264" t="s">
        <v>194</v>
      </c>
    </row>
    <row r="265" spans="2:10" x14ac:dyDescent="0.3">
      <c r="B265">
        <v>248</v>
      </c>
      <c r="C265" s="55">
        <v>38036.891817502408</v>
      </c>
      <c r="D265">
        <v>9</v>
      </c>
      <c r="E265" s="55">
        <v>23819.645885276834</v>
      </c>
      <c r="F265">
        <v>8</v>
      </c>
      <c r="G265" t="s">
        <v>183</v>
      </c>
      <c r="H265" t="s">
        <v>183</v>
      </c>
      <c r="I265" t="s">
        <v>183</v>
      </c>
      <c r="J265" t="s">
        <v>194</v>
      </c>
    </row>
    <row r="266" spans="2:10" x14ac:dyDescent="0.3">
      <c r="B266">
        <v>249</v>
      </c>
      <c r="C266" s="55">
        <v>33374.509581343009</v>
      </c>
      <c r="D266">
        <v>9</v>
      </c>
      <c r="E266" s="55">
        <v>34843.54747661185</v>
      </c>
      <c r="F266">
        <v>9</v>
      </c>
      <c r="G266" t="s">
        <v>183</v>
      </c>
      <c r="H266" t="s">
        <v>183</v>
      </c>
      <c r="I266" t="s">
        <v>183</v>
      </c>
      <c r="J266" t="s">
        <v>194</v>
      </c>
    </row>
    <row r="267" spans="2:10" x14ac:dyDescent="0.3">
      <c r="B267">
        <v>250</v>
      </c>
      <c r="C267" s="55">
        <v>27776.057492410357</v>
      </c>
      <c r="D267">
        <v>11</v>
      </c>
      <c r="E267" s="55">
        <v>47482.138224712435</v>
      </c>
      <c r="F267">
        <v>12</v>
      </c>
      <c r="G267" t="s">
        <v>183</v>
      </c>
      <c r="H267" t="s">
        <v>183</v>
      </c>
      <c r="I267" t="s">
        <v>183</v>
      </c>
      <c r="J267" t="s">
        <v>194</v>
      </c>
    </row>
    <row r="268" spans="2:10" x14ac:dyDescent="0.3">
      <c r="B268">
        <v>251</v>
      </c>
      <c r="C268" s="55">
        <v>37933.721967878431</v>
      </c>
      <c r="D268">
        <v>12</v>
      </c>
      <c r="E268" s="55">
        <v>43415.438755414667</v>
      </c>
      <c r="F268">
        <v>12</v>
      </c>
      <c r="G268" t="s">
        <v>183</v>
      </c>
      <c r="H268" t="s">
        <v>194</v>
      </c>
      <c r="I268" t="s">
        <v>183</v>
      </c>
      <c r="J268" t="s">
        <v>183</v>
      </c>
    </row>
    <row r="269" spans="2:10" x14ac:dyDescent="0.3">
      <c r="B269">
        <v>252</v>
      </c>
      <c r="C269" s="55">
        <v>30014.418356705697</v>
      </c>
      <c r="D269">
        <v>12</v>
      </c>
      <c r="E269" s="55">
        <v>55935.876862845253</v>
      </c>
      <c r="F269">
        <v>12</v>
      </c>
      <c r="G269" t="s">
        <v>183</v>
      </c>
      <c r="H269" t="s">
        <v>194</v>
      </c>
      <c r="I269" t="s">
        <v>183</v>
      </c>
      <c r="J269" t="s">
        <v>183</v>
      </c>
    </row>
    <row r="270" spans="2:10" x14ac:dyDescent="0.3">
      <c r="B270">
        <v>253</v>
      </c>
      <c r="C270" s="55">
        <v>20807.60651690251</v>
      </c>
      <c r="D270">
        <v>12</v>
      </c>
      <c r="E270" s="55">
        <v>39136.051872582117</v>
      </c>
      <c r="F270">
        <v>12</v>
      </c>
      <c r="G270" t="s">
        <v>183</v>
      </c>
      <c r="H270" t="s">
        <v>194</v>
      </c>
      <c r="I270" t="s">
        <v>183</v>
      </c>
      <c r="J270" t="s">
        <v>183</v>
      </c>
    </row>
    <row r="271" spans="2:10" x14ac:dyDescent="0.3">
      <c r="B271">
        <v>254</v>
      </c>
      <c r="C271" s="55">
        <v>27797.512970407784</v>
      </c>
      <c r="D271">
        <v>12</v>
      </c>
      <c r="E271" s="55">
        <v>46395.209922284317</v>
      </c>
      <c r="F271">
        <v>12</v>
      </c>
      <c r="G271" t="s">
        <v>183</v>
      </c>
      <c r="H271" t="s">
        <v>194</v>
      </c>
      <c r="I271" t="s">
        <v>183</v>
      </c>
      <c r="J271" t="s">
        <v>183</v>
      </c>
    </row>
    <row r="272" spans="2:10" x14ac:dyDescent="0.3">
      <c r="B272">
        <v>255</v>
      </c>
      <c r="C272" s="55">
        <v>28841.045157753906</v>
      </c>
      <c r="D272">
        <v>12</v>
      </c>
      <c r="E272" s="55">
        <v>36793.774008811895</v>
      </c>
      <c r="F272">
        <v>12</v>
      </c>
      <c r="G272" t="s">
        <v>183</v>
      </c>
      <c r="H272" t="s">
        <v>194</v>
      </c>
      <c r="I272" t="s">
        <v>183</v>
      </c>
      <c r="J272" t="s">
        <v>183</v>
      </c>
    </row>
    <row r="273" spans="2:10" x14ac:dyDescent="0.3">
      <c r="B273">
        <v>256</v>
      </c>
      <c r="C273" s="55">
        <v>22980.411171180851</v>
      </c>
      <c r="D273">
        <v>12</v>
      </c>
      <c r="E273" s="55">
        <v>42388.5581379422</v>
      </c>
      <c r="F273">
        <v>12</v>
      </c>
      <c r="G273" t="s">
        <v>183</v>
      </c>
      <c r="H273" t="s">
        <v>194</v>
      </c>
      <c r="I273" t="s">
        <v>183</v>
      </c>
      <c r="J273" t="s">
        <v>183</v>
      </c>
    </row>
    <row r="274" spans="2:10" x14ac:dyDescent="0.3">
      <c r="B274">
        <v>257</v>
      </c>
      <c r="C274" s="55">
        <v>36665.875081808641</v>
      </c>
      <c r="D274">
        <v>12</v>
      </c>
      <c r="E274" s="55">
        <v>37480.149058419243</v>
      </c>
      <c r="F274">
        <v>12</v>
      </c>
      <c r="G274" t="s">
        <v>183</v>
      </c>
      <c r="H274" t="s">
        <v>194</v>
      </c>
      <c r="I274" t="s">
        <v>183</v>
      </c>
      <c r="J274" t="s">
        <v>183</v>
      </c>
    </row>
    <row r="275" spans="2:10" x14ac:dyDescent="0.3">
      <c r="B275">
        <v>258</v>
      </c>
      <c r="C275" s="55">
        <v>31095.682655098717</v>
      </c>
      <c r="D275">
        <v>8</v>
      </c>
      <c r="E275" s="55">
        <v>33128.296515601782</v>
      </c>
      <c r="F275">
        <v>12</v>
      </c>
      <c r="G275" t="s">
        <v>183</v>
      </c>
      <c r="H275" t="s">
        <v>194</v>
      </c>
      <c r="I275" t="s">
        <v>183</v>
      </c>
      <c r="J275" t="s">
        <v>183</v>
      </c>
    </row>
    <row r="276" spans="2:10" x14ac:dyDescent="0.3">
      <c r="B276">
        <v>259</v>
      </c>
      <c r="C276" s="55">
        <v>14669.252960572732</v>
      </c>
      <c r="D276">
        <v>6</v>
      </c>
      <c r="E276" s="55">
        <v>42444.883378456296</v>
      </c>
      <c r="F276">
        <v>12</v>
      </c>
      <c r="G276" t="s">
        <v>183</v>
      </c>
      <c r="H276" t="s">
        <v>194</v>
      </c>
      <c r="I276" t="s">
        <v>183</v>
      </c>
      <c r="J276" t="s">
        <v>183</v>
      </c>
    </row>
    <row r="277" spans="2:10" x14ac:dyDescent="0.3">
      <c r="B277">
        <v>260</v>
      </c>
      <c r="C277" s="55">
        <v>27815.077216016696</v>
      </c>
      <c r="D277">
        <v>10</v>
      </c>
      <c r="E277" s="55">
        <v>31109.146943550841</v>
      </c>
      <c r="F277">
        <v>9</v>
      </c>
      <c r="G277" t="s">
        <v>183</v>
      </c>
      <c r="H277" t="s">
        <v>194</v>
      </c>
      <c r="I277" t="s">
        <v>183</v>
      </c>
      <c r="J277" t="s">
        <v>183</v>
      </c>
    </row>
    <row r="278" spans="2:10" x14ac:dyDescent="0.3">
      <c r="B278">
        <v>261</v>
      </c>
      <c r="C278" s="55">
        <v>45848.559200872201</v>
      </c>
      <c r="D278">
        <v>12</v>
      </c>
      <c r="E278" s="55">
        <v>54614.764914830768</v>
      </c>
      <c r="F278">
        <v>12</v>
      </c>
      <c r="G278" t="s">
        <v>194</v>
      </c>
      <c r="H278" t="s">
        <v>183</v>
      </c>
      <c r="I278" t="s">
        <v>183</v>
      </c>
      <c r="J278" t="s">
        <v>183</v>
      </c>
    </row>
    <row r="279" spans="2:10" x14ac:dyDescent="0.3">
      <c r="B279">
        <v>262</v>
      </c>
      <c r="C279" s="55">
        <v>33126.8032187192</v>
      </c>
      <c r="D279">
        <v>12</v>
      </c>
      <c r="E279" s="55">
        <v>44142.274351804597</v>
      </c>
      <c r="F279">
        <v>12</v>
      </c>
      <c r="G279" t="s">
        <v>194</v>
      </c>
      <c r="H279" t="s">
        <v>183</v>
      </c>
      <c r="I279" t="s">
        <v>183</v>
      </c>
      <c r="J279" t="s">
        <v>183</v>
      </c>
    </row>
    <row r="280" spans="2:10" x14ac:dyDescent="0.3">
      <c r="B280">
        <v>263</v>
      </c>
      <c r="C280" s="55">
        <v>38781.551976799892</v>
      </c>
      <c r="D280">
        <v>12</v>
      </c>
      <c r="E280" s="55">
        <v>41362.02815492409</v>
      </c>
      <c r="F280">
        <v>12</v>
      </c>
      <c r="G280" t="s">
        <v>194</v>
      </c>
      <c r="H280" t="s">
        <v>183</v>
      </c>
      <c r="I280" t="s">
        <v>183</v>
      </c>
      <c r="J280" t="s">
        <v>183</v>
      </c>
    </row>
    <row r="281" spans="2:10" x14ac:dyDescent="0.3">
      <c r="B281">
        <v>264</v>
      </c>
      <c r="C281" s="55">
        <v>31971.455526125814</v>
      </c>
      <c r="D281">
        <v>12</v>
      </c>
      <c r="E281" s="55">
        <v>56436.096487508556</v>
      </c>
      <c r="F281">
        <v>12</v>
      </c>
      <c r="G281" t="s">
        <v>194</v>
      </c>
      <c r="H281" t="s">
        <v>183</v>
      </c>
      <c r="I281" t="s">
        <v>183</v>
      </c>
      <c r="J281" t="s">
        <v>183</v>
      </c>
    </row>
    <row r="282" spans="2:10" x14ac:dyDescent="0.3">
      <c r="B282">
        <v>265</v>
      </c>
      <c r="C282" s="55">
        <v>43418.398977711367</v>
      </c>
      <c r="D282">
        <v>11</v>
      </c>
      <c r="E282" s="55">
        <v>40847.786194225453</v>
      </c>
      <c r="F282">
        <v>12</v>
      </c>
      <c r="G282" t="s">
        <v>194</v>
      </c>
      <c r="H282" t="s">
        <v>183</v>
      </c>
      <c r="I282" t="s">
        <v>183</v>
      </c>
      <c r="J282" t="s">
        <v>183</v>
      </c>
    </row>
    <row r="283" spans="2:10" x14ac:dyDescent="0.3">
      <c r="B283">
        <v>266</v>
      </c>
      <c r="C283" s="55">
        <v>38399.343264800256</v>
      </c>
      <c r="D283">
        <v>11</v>
      </c>
      <c r="E283" s="55">
        <v>36111.815432155585</v>
      </c>
      <c r="F283">
        <v>12</v>
      </c>
      <c r="G283" t="s">
        <v>194</v>
      </c>
      <c r="H283" t="s">
        <v>183</v>
      </c>
      <c r="I283" t="s">
        <v>183</v>
      </c>
      <c r="J283" t="s">
        <v>183</v>
      </c>
    </row>
    <row r="284" spans="2:10" x14ac:dyDescent="0.3">
      <c r="B284">
        <v>267</v>
      </c>
      <c r="C284" s="55">
        <v>27619.306486176123</v>
      </c>
      <c r="D284">
        <v>12</v>
      </c>
      <c r="E284" s="55">
        <v>32991.388191788603</v>
      </c>
      <c r="F284">
        <v>12</v>
      </c>
      <c r="G284" t="s">
        <v>194</v>
      </c>
      <c r="H284" t="s">
        <v>183</v>
      </c>
      <c r="I284" t="s">
        <v>183</v>
      </c>
      <c r="J284" t="s">
        <v>183</v>
      </c>
    </row>
    <row r="285" spans="2:10" x14ac:dyDescent="0.3">
      <c r="B285">
        <v>268</v>
      </c>
      <c r="C285" s="55">
        <v>24353.609701910944</v>
      </c>
      <c r="D285">
        <v>12</v>
      </c>
      <c r="E285" s="55">
        <v>31635.080285410637</v>
      </c>
      <c r="F285">
        <v>12</v>
      </c>
      <c r="G285" t="s">
        <v>194</v>
      </c>
      <c r="H285" t="s">
        <v>183</v>
      </c>
      <c r="I285" t="s">
        <v>183</v>
      </c>
      <c r="J285" t="s">
        <v>183</v>
      </c>
    </row>
    <row r="286" spans="2:10" x14ac:dyDescent="0.3">
      <c r="B286">
        <v>269</v>
      </c>
      <c r="C286" s="55">
        <v>37419.578431463044</v>
      </c>
      <c r="D286">
        <v>12</v>
      </c>
      <c r="E286" s="55">
        <v>27265.699329977004</v>
      </c>
      <c r="F286">
        <v>12</v>
      </c>
      <c r="G286" t="s">
        <v>194</v>
      </c>
      <c r="H286" t="s">
        <v>183</v>
      </c>
      <c r="I286" t="s">
        <v>183</v>
      </c>
      <c r="J286" t="s">
        <v>183</v>
      </c>
    </row>
    <row r="287" spans="2:10" x14ac:dyDescent="0.3">
      <c r="B287">
        <v>270</v>
      </c>
      <c r="C287" s="55">
        <v>41252.542971758332</v>
      </c>
      <c r="D287">
        <v>12</v>
      </c>
      <c r="E287" s="55">
        <v>25505.806111161517</v>
      </c>
      <c r="F287">
        <v>12</v>
      </c>
      <c r="G287" t="s">
        <v>194</v>
      </c>
      <c r="H287" t="s">
        <v>183</v>
      </c>
      <c r="I287" t="s">
        <v>183</v>
      </c>
      <c r="J287" t="s">
        <v>183</v>
      </c>
    </row>
    <row r="288" spans="2:10" x14ac:dyDescent="0.3">
      <c r="B288">
        <v>271</v>
      </c>
      <c r="C288" s="55">
        <v>34863.442798483302</v>
      </c>
      <c r="D288">
        <v>10</v>
      </c>
      <c r="E288" s="55">
        <v>25147.634923537778</v>
      </c>
      <c r="F288">
        <v>6</v>
      </c>
      <c r="G288" t="s">
        <v>194</v>
      </c>
      <c r="H288" t="s">
        <v>183</v>
      </c>
      <c r="I288" t="s">
        <v>183</v>
      </c>
      <c r="J288" t="s">
        <v>183</v>
      </c>
    </row>
    <row r="289" spans="2:10" x14ac:dyDescent="0.3">
      <c r="B289">
        <v>272</v>
      </c>
      <c r="C289" s="55">
        <v>31589.482414069716</v>
      </c>
      <c r="D289">
        <v>10</v>
      </c>
      <c r="E289" s="55">
        <v>37752.160545294442</v>
      </c>
      <c r="F289">
        <v>12</v>
      </c>
      <c r="G289" t="s">
        <v>194</v>
      </c>
      <c r="H289" t="s">
        <v>183</v>
      </c>
      <c r="I289" t="s">
        <v>183</v>
      </c>
      <c r="J289" t="s">
        <v>183</v>
      </c>
    </row>
    <row r="290" spans="2:10" x14ac:dyDescent="0.3">
      <c r="B290">
        <v>273</v>
      </c>
      <c r="C290" s="55">
        <v>35013.826555105625</v>
      </c>
      <c r="D290">
        <v>8</v>
      </c>
      <c r="E290" s="55">
        <v>41322.739831867257</v>
      </c>
      <c r="F290">
        <v>12</v>
      </c>
      <c r="G290" t="s">
        <v>194</v>
      </c>
      <c r="H290" t="s">
        <v>183</v>
      </c>
      <c r="I290" t="s">
        <v>183</v>
      </c>
      <c r="J290" t="s">
        <v>183</v>
      </c>
    </row>
    <row r="291" spans="2:10" x14ac:dyDescent="0.3">
      <c r="B291">
        <v>274</v>
      </c>
      <c r="C291" s="55">
        <v>24012.649709409925</v>
      </c>
      <c r="D291">
        <v>8</v>
      </c>
      <c r="E291" s="55">
        <v>27119.530599377631</v>
      </c>
      <c r="F291">
        <v>8</v>
      </c>
      <c r="G291" t="s">
        <v>194</v>
      </c>
      <c r="H291" t="s">
        <v>183</v>
      </c>
      <c r="I291" t="s">
        <v>183</v>
      </c>
      <c r="J291" t="s">
        <v>183</v>
      </c>
    </row>
    <row r="292" spans="2:10" x14ac:dyDescent="0.3">
      <c r="B292">
        <v>275</v>
      </c>
      <c r="C292" s="55">
        <v>38761.609939662776</v>
      </c>
      <c r="D292">
        <v>11</v>
      </c>
      <c r="E292" s="55">
        <v>48640.30375577174</v>
      </c>
      <c r="F292">
        <v>12</v>
      </c>
      <c r="G292" t="s">
        <v>194</v>
      </c>
      <c r="H292" t="s">
        <v>183</v>
      </c>
      <c r="I292" t="s">
        <v>183</v>
      </c>
      <c r="J292" t="s">
        <v>183</v>
      </c>
    </row>
    <row r="293" spans="2:10" x14ac:dyDescent="0.3">
      <c r="B293">
        <v>276</v>
      </c>
      <c r="C293" s="55">
        <v>29702.541858078428</v>
      </c>
      <c r="D293">
        <v>12</v>
      </c>
      <c r="E293" s="55">
        <v>44035.90770740615</v>
      </c>
      <c r="F293">
        <v>12</v>
      </c>
      <c r="G293" t="s">
        <v>183</v>
      </c>
      <c r="H293" t="s">
        <v>194</v>
      </c>
      <c r="I293" t="s">
        <v>183</v>
      </c>
      <c r="J293" t="s">
        <v>194</v>
      </c>
    </row>
    <row r="294" spans="2:10" x14ac:dyDescent="0.3">
      <c r="B294">
        <v>277</v>
      </c>
      <c r="C294" s="55">
        <v>26354.708142212701</v>
      </c>
      <c r="D294">
        <v>12</v>
      </c>
      <c r="E294" s="55">
        <v>39922.394857323437</v>
      </c>
      <c r="F294">
        <v>12</v>
      </c>
      <c r="G294" t="s">
        <v>183</v>
      </c>
      <c r="H294" t="s">
        <v>194</v>
      </c>
      <c r="I294" t="s">
        <v>183</v>
      </c>
      <c r="J294" t="s">
        <v>194</v>
      </c>
    </row>
    <row r="295" spans="2:10" x14ac:dyDescent="0.3">
      <c r="B295">
        <v>278</v>
      </c>
      <c r="C295" s="55">
        <v>22149.321985158611</v>
      </c>
      <c r="D295">
        <v>12</v>
      </c>
      <c r="E295" s="55">
        <v>46384.550625082855</v>
      </c>
      <c r="F295">
        <v>12</v>
      </c>
      <c r="G295" t="s">
        <v>183</v>
      </c>
      <c r="H295" t="s">
        <v>194</v>
      </c>
      <c r="I295" t="s">
        <v>183</v>
      </c>
      <c r="J295" t="s">
        <v>194</v>
      </c>
    </row>
    <row r="296" spans="2:10" x14ac:dyDescent="0.3">
      <c r="B296">
        <v>279</v>
      </c>
      <c r="C296" s="55">
        <v>25452.799077698306</v>
      </c>
      <c r="D296">
        <v>12</v>
      </c>
      <c r="E296" s="55">
        <v>24100.065679079315</v>
      </c>
      <c r="F296">
        <v>12</v>
      </c>
      <c r="G296" t="s">
        <v>183</v>
      </c>
      <c r="H296" t="s">
        <v>194</v>
      </c>
      <c r="I296" t="s">
        <v>183</v>
      </c>
      <c r="J296" t="s">
        <v>194</v>
      </c>
    </row>
    <row r="297" spans="2:10" x14ac:dyDescent="0.3">
      <c r="B297">
        <v>280</v>
      </c>
      <c r="C297" s="55">
        <v>17718.589274706963</v>
      </c>
      <c r="D297">
        <v>12</v>
      </c>
      <c r="E297" s="55">
        <v>45060.555784069598</v>
      </c>
      <c r="F297">
        <v>12</v>
      </c>
      <c r="G297" t="s">
        <v>183</v>
      </c>
      <c r="H297" t="s">
        <v>194</v>
      </c>
      <c r="I297" t="s">
        <v>183</v>
      </c>
      <c r="J297" t="s">
        <v>194</v>
      </c>
    </row>
    <row r="298" spans="2:10" x14ac:dyDescent="0.3">
      <c r="B298">
        <v>281</v>
      </c>
      <c r="C298" s="55">
        <v>20783.34997944424</v>
      </c>
      <c r="D298">
        <v>12</v>
      </c>
      <c r="E298" s="55">
        <v>54907.258891466132</v>
      </c>
      <c r="F298">
        <v>12</v>
      </c>
      <c r="G298" t="s">
        <v>183</v>
      </c>
      <c r="H298" t="s">
        <v>194</v>
      </c>
      <c r="I298" t="s">
        <v>183</v>
      </c>
      <c r="J298" t="s">
        <v>194</v>
      </c>
    </row>
    <row r="299" spans="2:10" x14ac:dyDescent="0.3">
      <c r="B299">
        <v>282</v>
      </c>
      <c r="C299" s="55">
        <v>36588.644242975963</v>
      </c>
      <c r="D299">
        <v>12</v>
      </c>
      <c r="E299" s="55">
        <v>24416.199384727246</v>
      </c>
      <c r="F299">
        <v>12</v>
      </c>
      <c r="G299" t="s">
        <v>183</v>
      </c>
      <c r="H299" t="s">
        <v>194</v>
      </c>
      <c r="I299" t="s">
        <v>183</v>
      </c>
      <c r="J299" t="s">
        <v>194</v>
      </c>
    </row>
    <row r="300" spans="2:10" x14ac:dyDescent="0.3">
      <c r="B300">
        <v>283</v>
      </c>
      <c r="C300" s="55">
        <v>36847.744546749404</v>
      </c>
      <c r="D300">
        <v>10</v>
      </c>
      <c r="E300" s="55">
        <v>37661.567861387361</v>
      </c>
      <c r="F300">
        <v>12</v>
      </c>
      <c r="G300" t="s">
        <v>183</v>
      </c>
      <c r="H300" t="s">
        <v>194</v>
      </c>
      <c r="I300" t="s">
        <v>183</v>
      </c>
      <c r="J300" t="s">
        <v>194</v>
      </c>
    </row>
    <row r="301" spans="2:10" x14ac:dyDescent="0.3">
      <c r="B301">
        <v>284</v>
      </c>
      <c r="C301" s="55">
        <v>18970.512216780873</v>
      </c>
      <c r="D301">
        <v>9</v>
      </c>
      <c r="E301" s="55">
        <v>24279.921107135458</v>
      </c>
      <c r="F301">
        <v>9</v>
      </c>
      <c r="G301" t="s">
        <v>183</v>
      </c>
      <c r="H301" t="s">
        <v>194</v>
      </c>
      <c r="I301" t="s">
        <v>183</v>
      </c>
      <c r="J301" t="s">
        <v>194</v>
      </c>
    </row>
    <row r="302" spans="2:10" x14ac:dyDescent="0.3">
      <c r="B302">
        <v>285</v>
      </c>
      <c r="C302" s="55">
        <v>33125.640901202496</v>
      </c>
      <c r="D302">
        <v>12</v>
      </c>
      <c r="E302" s="55">
        <v>46523.975272077667</v>
      </c>
      <c r="F302">
        <v>12</v>
      </c>
      <c r="G302" t="s">
        <v>194</v>
      </c>
      <c r="H302" t="s">
        <v>183</v>
      </c>
      <c r="I302" t="s">
        <v>194</v>
      </c>
      <c r="J302" t="s">
        <v>183</v>
      </c>
    </row>
    <row r="303" spans="2:10" x14ac:dyDescent="0.3">
      <c r="B303">
        <v>286</v>
      </c>
      <c r="C303" s="55">
        <v>41837.936035795654</v>
      </c>
      <c r="D303">
        <v>12</v>
      </c>
      <c r="E303" s="55">
        <v>48093.952181437984</v>
      </c>
      <c r="F303">
        <v>12</v>
      </c>
      <c r="G303" t="s">
        <v>194</v>
      </c>
      <c r="H303" t="s">
        <v>183</v>
      </c>
      <c r="I303" t="s">
        <v>194</v>
      </c>
      <c r="J303" t="s">
        <v>183</v>
      </c>
    </row>
    <row r="304" spans="2:10" x14ac:dyDescent="0.3">
      <c r="B304">
        <v>287</v>
      </c>
      <c r="C304" s="55">
        <v>30491.922074092945</v>
      </c>
      <c r="D304">
        <v>12</v>
      </c>
      <c r="E304" s="55">
        <v>38669.747953887971</v>
      </c>
      <c r="F304">
        <v>12</v>
      </c>
      <c r="G304" t="s">
        <v>194</v>
      </c>
      <c r="H304" t="s">
        <v>183</v>
      </c>
      <c r="I304" t="s">
        <v>194</v>
      </c>
      <c r="J304" t="s">
        <v>183</v>
      </c>
    </row>
    <row r="305" spans="2:10" x14ac:dyDescent="0.3">
      <c r="B305">
        <v>288</v>
      </c>
      <c r="C305" s="55">
        <v>49312.741160985119</v>
      </c>
      <c r="D305">
        <v>12</v>
      </c>
      <c r="E305" s="55">
        <v>42074.55958064436</v>
      </c>
      <c r="F305">
        <v>12</v>
      </c>
      <c r="G305" t="s">
        <v>194</v>
      </c>
      <c r="H305" t="s">
        <v>183</v>
      </c>
      <c r="I305" t="s">
        <v>194</v>
      </c>
      <c r="J305" t="s">
        <v>183</v>
      </c>
    </row>
    <row r="306" spans="2:10" x14ac:dyDescent="0.3">
      <c r="B306">
        <v>289</v>
      </c>
      <c r="C306" s="55">
        <v>48770.567214130853</v>
      </c>
      <c r="D306">
        <v>12</v>
      </c>
      <c r="E306" s="55">
        <v>43571.679871427878</v>
      </c>
      <c r="F306">
        <v>12</v>
      </c>
      <c r="G306" t="s">
        <v>194</v>
      </c>
      <c r="H306" t="s">
        <v>183</v>
      </c>
      <c r="I306" t="s">
        <v>194</v>
      </c>
      <c r="J306" t="s">
        <v>183</v>
      </c>
    </row>
    <row r="307" spans="2:10" x14ac:dyDescent="0.3">
      <c r="B307">
        <v>290</v>
      </c>
      <c r="C307" s="55">
        <v>49881.297752559491</v>
      </c>
      <c r="D307">
        <v>12</v>
      </c>
      <c r="E307" s="55">
        <v>35320.732728113231</v>
      </c>
      <c r="F307">
        <v>12</v>
      </c>
      <c r="G307" t="s">
        <v>194</v>
      </c>
      <c r="H307" t="s">
        <v>183</v>
      </c>
      <c r="I307" t="s">
        <v>194</v>
      </c>
      <c r="J307" t="s">
        <v>183</v>
      </c>
    </row>
    <row r="308" spans="2:10" x14ac:dyDescent="0.3">
      <c r="B308">
        <v>291</v>
      </c>
      <c r="C308" s="55">
        <v>30469.842034461428</v>
      </c>
      <c r="D308">
        <v>12</v>
      </c>
      <c r="E308" s="55">
        <v>42549.298950255994</v>
      </c>
      <c r="F308">
        <v>12</v>
      </c>
      <c r="G308" t="s">
        <v>194</v>
      </c>
      <c r="H308" t="s">
        <v>183</v>
      </c>
      <c r="I308" t="s">
        <v>194</v>
      </c>
      <c r="J308" t="s">
        <v>183</v>
      </c>
    </row>
    <row r="309" spans="2:10" x14ac:dyDescent="0.3">
      <c r="B309">
        <v>292</v>
      </c>
      <c r="C309" s="55">
        <v>47274.566409395062</v>
      </c>
      <c r="D309">
        <v>12</v>
      </c>
      <c r="E309" s="55">
        <v>42690.638928115863</v>
      </c>
      <c r="F309">
        <v>12</v>
      </c>
      <c r="G309" t="s">
        <v>194</v>
      </c>
      <c r="H309" t="s">
        <v>183</v>
      </c>
      <c r="I309" t="s">
        <v>194</v>
      </c>
      <c r="J309" t="s">
        <v>183</v>
      </c>
    </row>
    <row r="310" spans="2:10" x14ac:dyDescent="0.3">
      <c r="B310">
        <v>293</v>
      </c>
      <c r="C310" s="55">
        <v>38046.319402406305</v>
      </c>
      <c r="D310">
        <v>12</v>
      </c>
      <c r="E310" s="55">
        <v>46996.628505465182</v>
      </c>
      <c r="F310">
        <v>12</v>
      </c>
      <c r="G310" t="s">
        <v>194</v>
      </c>
      <c r="H310" t="s">
        <v>183</v>
      </c>
      <c r="I310" t="s">
        <v>194</v>
      </c>
      <c r="J310" t="s">
        <v>183</v>
      </c>
    </row>
    <row r="311" spans="2:10" x14ac:dyDescent="0.3">
      <c r="B311">
        <v>294</v>
      </c>
      <c r="C311" s="55">
        <v>45578.07733666744</v>
      </c>
      <c r="D311">
        <v>12</v>
      </c>
      <c r="E311" s="55">
        <v>38248.093955055912</v>
      </c>
      <c r="F311">
        <v>12</v>
      </c>
      <c r="G311" t="s">
        <v>194</v>
      </c>
      <c r="H311" t="s">
        <v>183</v>
      </c>
      <c r="I311" t="s">
        <v>194</v>
      </c>
      <c r="J311" t="s">
        <v>183</v>
      </c>
    </row>
    <row r="312" spans="2:10" x14ac:dyDescent="0.3">
      <c r="B312">
        <v>295</v>
      </c>
      <c r="C312" s="55">
        <v>34975.921947925082</v>
      </c>
      <c r="D312">
        <v>12</v>
      </c>
      <c r="E312" s="55">
        <v>42706.43204384308</v>
      </c>
      <c r="F312">
        <v>12</v>
      </c>
      <c r="G312" t="s">
        <v>194</v>
      </c>
      <c r="H312" t="s">
        <v>183</v>
      </c>
      <c r="I312" t="s">
        <v>194</v>
      </c>
      <c r="J312" t="s">
        <v>183</v>
      </c>
    </row>
    <row r="313" spans="2:10" x14ac:dyDescent="0.3">
      <c r="B313">
        <v>296</v>
      </c>
      <c r="C313" s="55">
        <v>45782.685071287291</v>
      </c>
      <c r="D313">
        <v>12</v>
      </c>
      <c r="E313" s="55">
        <v>41946.725882047336</v>
      </c>
      <c r="F313">
        <v>12</v>
      </c>
      <c r="G313" t="s">
        <v>194</v>
      </c>
      <c r="H313" t="s">
        <v>183</v>
      </c>
      <c r="I313" t="s">
        <v>194</v>
      </c>
      <c r="J313" t="s">
        <v>183</v>
      </c>
    </row>
    <row r="314" spans="2:10" x14ac:dyDescent="0.3">
      <c r="B314">
        <v>297</v>
      </c>
      <c r="C314" s="55">
        <v>28484.425316477387</v>
      </c>
      <c r="D314">
        <v>10</v>
      </c>
      <c r="E314" s="55">
        <v>31274.779663882808</v>
      </c>
      <c r="F314">
        <v>8</v>
      </c>
      <c r="G314" t="s">
        <v>194</v>
      </c>
      <c r="H314" t="s">
        <v>183</v>
      </c>
      <c r="I314" t="s">
        <v>194</v>
      </c>
      <c r="J314" t="s">
        <v>183</v>
      </c>
    </row>
    <row r="315" spans="2:10" x14ac:dyDescent="0.3">
      <c r="B315">
        <v>298</v>
      </c>
      <c r="C315" s="55">
        <v>35014.461172404444</v>
      </c>
      <c r="D315">
        <v>10</v>
      </c>
      <c r="E315" s="55">
        <v>43572.864702612991</v>
      </c>
      <c r="F315">
        <v>10</v>
      </c>
      <c r="G315" t="s">
        <v>194</v>
      </c>
      <c r="H315" t="s">
        <v>183</v>
      </c>
      <c r="I315" t="s">
        <v>194</v>
      </c>
      <c r="J315" t="s">
        <v>183</v>
      </c>
    </row>
    <row r="316" spans="2:10" x14ac:dyDescent="0.3">
      <c r="B316">
        <v>299</v>
      </c>
      <c r="C316" s="55">
        <v>33640.194505115585</v>
      </c>
      <c r="D316">
        <v>9</v>
      </c>
      <c r="E316" s="55">
        <v>31048.789434026643</v>
      </c>
      <c r="F316">
        <v>9</v>
      </c>
      <c r="G316" t="s">
        <v>194</v>
      </c>
      <c r="H316" t="s">
        <v>183</v>
      </c>
      <c r="I316" t="s">
        <v>194</v>
      </c>
      <c r="J316" t="s">
        <v>183</v>
      </c>
    </row>
    <row r="317" spans="2:10" x14ac:dyDescent="0.3">
      <c r="B317">
        <v>300</v>
      </c>
      <c r="C317" s="55">
        <v>11524.892260033275</v>
      </c>
      <c r="D317">
        <v>8</v>
      </c>
      <c r="E317" s="55">
        <v>33324.939537827595</v>
      </c>
      <c r="F317">
        <v>9</v>
      </c>
      <c r="G317" t="s">
        <v>194</v>
      </c>
      <c r="H317" t="s">
        <v>183</v>
      </c>
      <c r="I317" t="s">
        <v>194</v>
      </c>
      <c r="J317" t="s">
        <v>183</v>
      </c>
    </row>
  </sheetData>
  <autoFilter ref="B17:J317" xr:uid="{DA95E224-9F0F-4E63-82AF-C7B351203947}"/>
  <mergeCells count="5">
    <mergeCell ref="B7:E7"/>
    <mergeCell ref="B15:J15"/>
    <mergeCell ref="L15:P15"/>
    <mergeCell ref="L18:M18"/>
    <mergeCell ref="L26:M26"/>
  </mergeCells>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5D5AE-79E6-4C2A-89D6-2024DF1A63CC}">
  <sheetPr>
    <tabColor theme="9" tint="0.59999389629810485"/>
  </sheetPr>
  <dimension ref="A1:Y317"/>
  <sheetViews>
    <sheetView workbookViewId="0">
      <pane xSplit="1" ySplit="17" topLeftCell="D33" activePane="bottomRight" state="frozen"/>
      <selection activeCell="R47" sqref="R47"/>
      <selection pane="topRight" activeCell="R47" sqref="R47"/>
      <selection pane="bottomLeft" activeCell="R47" sqref="R47"/>
      <selection pane="bottomRight" activeCell="R47" sqref="R47"/>
    </sheetView>
  </sheetViews>
  <sheetFormatPr defaultRowHeight="14.4" x14ac:dyDescent="0.3"/>
  <cols>
    <col min="3" max="3" width="9.88671875" bestFit="1" customWidth="1"/>
    <col min="5" max="5" width="9.88671875" bestFit="1" customWidth="1"/>
    <col min="12" max="12" width="16.88671875" customWidth="1"/>
    <col min="13" max="17" width="14.6640625" customWidth="1"/>
    <col min="18" max="18" width="14.33203125" customWidth="1"/>
    <col min="19" max="19" width="9.6640625" customWidth="1"/>
    <col min="20" max="20" width="4.6640625" customWidth="1"/>
    <col min="21" max="24" width="10.88671875" customWidth="1"/>
    <col min="25" max="25" width="10.88671875" bestFit="1" customWidth="1"/>
    <col min="26" max="26" width="11.33203125" customWidth="1"/>
    <col min="27" max="27" width="23.109375" bestFit="1" customWidth="1"/>
    <col min="28" max="28" width="29" bestFit="1" customWidth="1"/>
  </cols>
  <sheetData>
    <row r="1" spans="1:25" ht="15" thickBot="1" x14ac:dyDescent="0.35">
      <c r="A1" t="s">
        <v>648</v>
      </c>
      <c r="B1" s="133"/>
      <c r="C1" s="133"/>
      <c r="D1" s="133"/>
      <c r="E1" s="133"/>
      <c r="J1" s="25" t="s">
        <v>40</v>
      </c>
      <c r="K1" s="24"/>
    </row>
    <row r="2" spans="1:25" x14ac:dyDescent="0.3">
      <c r="B2" s="133"/>
      <c r="C2" s="133"/>
      <c r="D2" s="133"/>
      <c r="J2" s="23" t="s">
        <v>39</v>
      </c>
      <c r="K2" s="23"/>
    </row>
    <row r="3" spans="1:25" ht="15" thickBot="1" x14ac:dyDescent="0.35">
      <c r="J3" s="22" t="s">
        <v>38</v>
      </c>
      <c r="K3" s="22"/>
    </row>
    <row r="4" spans="1:25" ht="15.6" thickTop="1" thickBot="1" x14ac:dyDescent="0.35">
      <c r="J4" s="21" t="s">
        <v>37</v>
      </c>
      <c r="K4" s="21"/>
    </row>
    <row r="5" spans="1:25" ht="15" thickTop="1" x14ac:dyDescent="0.3">
      <c r="J5" s="20" t="s">
        <v>36</v>
      </c>
      <c r="K5" s="19"/>
    </row>
    <row r="6" spans="1:25" ht="15" thickBot="1" x14ac:dyDescent="0.35"/>
    <row r="7" spans="1:25" ht="15" thickBot="1" x14ac:dyDescent="0.35">
      <c r="B7" s="182" t="s">
        <v>16</v>
      </c>
      <c r="C7" s="183"/>
      <c r="D7" s="183"/>
      <c r="E7" s="184"/>
    </row>
    <row r="9" spans="1:25" x14ac:dyDescent="0.3">
      <c r="C9" t="s">
        <v>647</v>
      </c>
    </row>
    <row r="10" spans="1:25" x14ac:dyDescent="0.3">
      <c r="B10">
        <v>50</v>
      </c>
      <c r="C10" t="s">
        <v>646</v>
      </c>
    </row>
    <row r="11" spans="1:25" x14ac:dyDescent="0.3">
      <c r="B11">
        <v>2</v>
      </c>
      <c r="C11" t="s">
        <v>645</v>
      </c>
    </row>
    <row r="12" spans="1:25" x14ac:dyDescent="0.3">
      <c r="C12" t="s">
        <v>644</v>
      </c>
      <c r="O12" s="23" t="s">
        <v>745</v>
      </c>
      <c r="P12" s="23"/>
      <c r="Q12" s="23"/>
      <c r="R12" s="23"/>
      <c r="S12" s="23"/>
      <c r="T12" s="23"/>
      <c r="U12" s="23"/>
      <c r="V12" s="23"/>
      <c r="W12" s="23"/>
      <c r="X12" s="23"/>
      <c r="Y12" s="23"/>
    </row>
    <row r="14" spans="1:25" ht="15" thickBot="1" x14ac:dyDescent="0.35"/>
    <row r="15" spans="1:25" ht="15" thickBot="1" x14ac:dyDescent="0.35">
      <c r="B15" s="182" t="s">
        <v>10</v>
      </c>
      <c r="C15" s="183"/>
      <c r="D15" s="183"/>
      <c r="E15" s="183"/>
      <c r="F15" s="183"/>
      <c r="G15" s="183"/>
      <c r="H15" s="183"/>
      <c r="I15" s="183"/>
      <c r="J15" s="184"/>
      <c r="L15" s="182" t="s">
        <v>9</v>
      </c>
      <c r="M15" s="183"/>
      <c r="N15" s="183"/>
      <c r="O15" s="183"/>
      <c r="P15" s="184"/>
    </row>
    <row r="17" spans="2:17" x14ac:dyDescent="0.3">
      <c r="B17" t="s">
        <v>643</v>
      </c>
      <c r="C17" t="s">
        <v>642</v>
      </c>
      <c r="D17" t="s">
        <v>641</v>
      </c>
      <c r="E17" t="s">
        <v>640</v>
      </c>
      <c r="F17" t="s">
        <v>639</v>
      </c>
      <c r="G17" t="s">
        <v>638</v>
      </c>
      <c r="H17" t="s">
        <v>637</v>
      </c>
      <c r="I17" t="s">
        <v>636</v>
      </c>
      <c r="J17" t="s">
        <v>635</v>
      </c>
    </row>
    <row r="18" spans="2:17" x14ac:dyDescent="0.3">
      <c r="B18">
        <v>1</v>
      </c>
      <c r="C18" s="55">
        <v>26080.523694351166</v>
      </c>
      <c r="D18">
        <v>12</v>
      </c>
      <c r="E18" s="55">
        <v>25680.211225680057</v>
      </c>
      <c r="F18">
        <v>12</v>
      </c>
      <c r="G18" t="s">
        <v>194</v>
      </c>
      <c r="H18" t="s">
        <v>194</v>
      </c>
      <c r="I18" t="s">
        <v>194</v>
      </c>
      <c r="J18" t="s">
        <v>194</v>
      </c>
      <c r="L18" s="200" t="s">
        <v>611</v>
      </c>
      <c r="M18" s="200"/>
      <c r="O18" s="109"/>
      <c r="P18" s="73" t="s">
        <v>634</v>
      </c>
    </row>
    <row r="19" spans="2:17" x14ac:dyDescent="0.3">
      <c r="B19">
        <v>2</v>
      </c>
      <c r="C19" s="55">
        <v>35590.376946640754</v>
      </c>
      <c r="D19">
        <v>12</v>
      </c>
      <c r="E19" s="55">
        <v>35412.169801434473</v>
      </c>
      <c r="F19">
        <v>12</v>
      </c>
      <c r="G19" t="s">
        <v>194</v>
      </c>
      <c r="H19" t="s">
        <v>194</v>
      </c>
      <c r="I19" t="s">
        <v>194</v>
      </c>
      <c r="J19" t="s">
        <v>194</v>
      </c>
      <c r="L19" s="35" t="s">
        <v>631</v>
      </c>
      <c r="M19" s="35" t="s">
        <v>630</v>
      </c>
      <c r="N19" s="35" t="s">
        <v>633</v>
      </c>
      <c r="O19" s="118" t="s">
        <v>632</v>
      </c>
      <c r="P19" s="35" t="s">
        <v>629</v>
      </c>
      <c r="Q19" s="35" t="s">
        <v>628</v>
      </c>
    </row>
    <row r="20" spans="2:17" x14ac:dyDescent="0.3">
      <c r="B20">
        <v>3</v>
      </c>
      <c r="C20" s="55">
        <v>35790.104093085494</v>
      </c>
      <c r="D20">
        <v>12</v>
      </c>
      <c r="E20" s="55">
        <v>38429.521710464134</v>
      </c>
      <c r="F20">
        <v>12</v>
      </c>
      <c r="G20" t="s">
        <v>194</v>
      </c>
      <c r="H20" t="s">
        <v>194</v>
      </c>
      <c r="I20" t="s">
        <v>194</v>
      </c>
      <c r="J20" t="s">
        <v>194</v>
      </c>
      <c r="L20" s="32" t="s">
        <v>194</v>
      </c>
      <c r="M20" s="32" t="s">
        <v>194</v>
      </c>
      <c r="N20" s="128">
        <f>SUMIFS($C$18:$C$317,$G$18:$G$317,L20,$H$18:$H$317,M20)</f>
        <v>3884646.7139145946</v>
      </c>
      <c r="O20" s="127">
        <f>SUMIFS($D$18:$D$317,$G$18:$G$317,L20,$H$18:$H$317,M20)</f>
        <v>1630</v>
      </c>
      <c r="P20" s="128">
        <f>SUMIFS($E$18:$E$317,$G$18:$G$317,L20,$H$18:$H$317,M20)</f>
        <v>4433881.2567390697</v>
      </c>
      <c r="Q20" s="131">
        <f>SUMIFS($F$18:$F$317,$G$18:$G$317,L20,$H$18:$H$317,M20)</f>
        <v>1671</v>
      </c>
    </row>
    <row r="21" spans="2:17" x14ac:dyDescent="0.3">
      <c r="B21">
        <v>4</v>
      </c>
      <c r="C21" s="55">
        <v>35405.03832533308</v>
      </c>
      <c r="D21">
        <v>12</v>
      </c>
      <c r="E21" s="55">
        <v>24342.983934671851</v>
      </c>
      <c r="F21">
        <v>12</v>
      </c>
      <c r="G21" t="s">
        <v>194</v>
      </c>
      <c r="H21" t="s">
        <v>194</v>
      </c>
      <c r="I21" t="s">
        <v>194</v>
      </c>
      <c r="J21" t="s">
        <v>194</v>
      </c>
      <c r="L21" s="32" t="s">
        <v>194</v>
      </c>
      <c r="M21" s="32" t="s">
        <v>183</v>
      </c>
      <c r="N21" s="128">
        <f>SUMIFS($C$18:$C$317,$G$18:$G$317,L21,$H$18:$H$317,M21)</f>
        <v>1773054.5623195965</v>
      </c>
      <c r="O21" s="127">
        <f>SUMIFS($D$18:$D$317,$G$18:$G$317,L21,$H$18:$H$317,M21)</f>
        <v>559</v>
      </c>
      <c r="P21" s="128">
        <f>SUMIFS($E$18:$E$317,$G$18:$G$317,L21,$H$18:$H$317,M21)</f>
        <v>2033436.1339476875</v>
      </c>
      <c r="Q21" s="131">
        <f>SUMIFS($F$18:$F$317,$G$18:$G$317,L21,$H$18:$H$317,M21)</f>
        <v>579</v>
      </c>
    </row>
    <row r="22" spans="2:17" x14ac:dyDescent="0.3">
      <c r="B22">
        <v>5</v>
      </c>
      <c r="C22" s="55">
        <v>18307.631188026571</v>
      </c>
      <c r="D22">
        <v>12</v>
      </c>
      <c r="E22" s="55">
        <v>29751.979123492569</v>
      </c>
      <c r="F22">
        <v>12</v>
      </c>
      <c r="G22" t="s">
        <v>194</v>
      </c>
      <c r="H22" t="s">
        <v>194</v>
      </c>
      <c r="I22" t="s">
        <v>194</v>
      </c>
      <c r="J22" t="s">
        <v>194</v>
      </c>
      <c r="L22" s="32" t="s">
        <v>183</v>
      </c>
      <c r="M22" s="32" t="s">
        <v>194</v>
      </c>
      <c r="N22" s="128">
        <f>SUMIFS($C$18:$C$317,$G$18:$G$317,L22,$H$18:$H$317,M22)</f>
        <v>1107661.5809957967</v>
      </c>
      <c r="O22" s="127">
        <f>SUMIFS($D$18:$D$317,$G$18:$G$317,L22,$H$18:$H$317,M22)</f>
        <v>429</v>
      </c>
      <c r="P22" s="128">
        <f>SUMIFS($E$18:$E$317,$G$18:$G$317,L22,$H$18:$H$317,M22)</f>
        <v>1429260.9918056782</v>
      </c>
      <c r="Q22" s="131">
        <f>SUMIFS($F$18:$F$317,$G$18:$G$317,L22,$H$18:$H$317,M22)</f>
        <v>438</v>
      </c>
    </row>
    <row r="23" spans="2:17" x14ac:dyDescent="0.3">
      <c r="B23">
        <v>6</v>
      </c>
      <c r="C23" s="55">
        <v>35413.079142539107</v>
      </c>
      <c r="D23">
        <v>12</v>
      </c>
      <c r="E23" s="55">
        <v>43304.522667692836</v>
      </c>
      <c r="F23">
        <v>12</v>
      </c>
      <c r="G23" t="s">
        <v>194</v>
      </c>
      <c r="H23" t="s">
        <v>194</v>
      </c>
      <c r="I23" t="s">
        <v>194</v>
      </c>
      <c r="J23" t="s">
        <v>194</v>
      </c>
      <c r="L23" s="35" t="s">
        <v>183</v>
      </c>
      <c r="M23" s="35" t="s">
        <v>183</v>
      </c>
      <c r="N23" s="130">
        <f>SUMIFS($C$18:$C$317,$G$18:$G$317,L23,$H$18:$H$317,M23)</f>
        <v>2380265.1810617126</v>
      </c>
      <c r="O23" s="129">
        <f>SUMIFS($D$18:$D$317,$G$18:$G$317,L23,$H$18:$H$317,M23)</f>
        <v>673</v>
      </c>
      <c r="P23" s="130">
        <f>SUMIFS($E$18:$E$317,$G$18:$G$317,L23,$H$18:$H$317,M23)</f>
        <v>2353833.0920698396</v>
      </c>
      <c r="Q23" s="132">
        <f>SUMIFS($F$18:$F$317,$G$18:$G$317,L23,$H$18:$H$317,M23)</f>
        <v>691</v>
      </c>
    </row>
    <row r="24" spans="2:17" x14ac:dyDescent="0.3">
      <c r="B24">
        <v>7</v>
      </c>
      <c r="C24" s="55">
        <v>15483.363757028932</v>
      </c>
      <c r="D24">
        <v>12</v>
      </c>
      <c r="E24" s="55">
        <v>24919.03935829992</v>
      </c>
      <c r="F24">
        <v>12</v>
      </c>
      <c r="G24" t="s">
        <v>194</v>
      </c>
      <c r="H24" t="s">
        <v>194</v>
      </c>
      <c r="I24" t="s">
        <v>194</v>
      </c>
      <c r="J24" t="s">
        <v>194</v>
      </c>
      <c r="L24" s="32" t="s">
        <v>627</v>
      </c>
      <c r="M24" s="32"/>
      <c r="N24" s="128">
        <f>SUM(N20:N23)</f>
        <v>9145628.0382917002</v>
      </c>
      <c r="O24" s="127">
        <f>SUM(O20:O23)</f>
        <v>3291</v>
      </c>
      <c r="P24" s="128">
        <f>SUM(P20:P23)</f>
        <v>10250411.474562274</v>
      </c>
      <c r="Q24" s="131">
        <f>SUM(Q20:Q23)</f>
        <v>3379</v>
      </c>
    </row>
    <row r="25" spans="2:17" x14ac:dyDescent="0.3">
      <c r="B25">
        <v>8</v>
      </c>
      <c r="C25" s="55">
        <v>24576.547385761478</v>
      </c>
      <c r="D25">
        <v>12</v>
      </c>
      <c r="E25" s="55">
        <v>38250.782115870621</v>
      </c>
      <c r="F25">
        <v>12</v>
      </c>
      <c r="G25" t="s">
        <v>194</v>
      </c>
      <c r="H25" t="s">
        <v>194</v>
      </c>
      <c r="I25" t="s">
        <v>194</v>
      </c>
      <c r="J25" t="s">
        <v>194</v>
      </c>
    </row>
    <row r="26" spans="2:17" x14ac:dyDescent="0.3">
      <c r="B26">
        <v>9</v>
      </c>
      <c r="C26" s="55">
        <v>20956.929974336286</v>
      </c>
      <c r="D26">
        <v>12</v>
      </c>
      <c r="E26" s="55">
        <v>25630.199975567724</v>
      </c>
      <c r="F26">
        <v>12</v>
      </c>
      <c r="G26" t="s">
        <v>194</v>
      </c>
      <c r="H26" t="s">
        <v>194</v>
      </c>
      <c r="I26" t="s">
        <v>194</v>
      </c>
      <c r="J26" t="s">
        <v>194</v>
      </c>
      <c r="L26" s="200" t="s">
        <v>132</v>
      </c>
      <c r="M26" s="200"/>
    </row>
    <row r="27" spans="2:17" x14ac:dyDescent="0.3">
      <c r="B27">
        <v>10</v>
      </c>
      <c r="C27" s="55">
        <v>18820.622722846787</v>
      </c>
      <c r="D27">
        <v>12</v>
      </c>
      <c r="E27" s="55">
        <v>30134.040755848957</v>
      </c>
      <c r="F27">
        <v>12</v>
      </c>
      <c r="G27" t="s">
        <v>194</v>
      </c>
      <c r="H27" t="s">
        <v>194</v>
      </c>
      <c r="I27" t="s">
        <v>194</v>
      </c>
      <c r="J27" t="s">
        <v>194</v>
      </c>
      <c r="L27" s="35" t="s">
        <v>631</v>
      </c>
      <c r="M27" s="35" t="s">
        <v>630</v>
      </c>
      <c r="N27" s="35" t="s">
        <v>629</v>
      </c>
      <c r="O27" s="118" t="s">
        <v>628</v>
      </c>
    </row>
    <row r="28" spans="2:17" x14ac:dyDescent="0.3">
      <c r="B28">
        <v>11</v>
      </c>
      <c r="C28" s="55">
        <v>42134.041644945086</v>
      </c>
      <c r="D28">
        <v>12</v>
      </c>
      <c r="E28" s="55">
        <v>34000.462509571298</v>
      </c>
      <c r="F28">
        <v>12</v>
      </c>
      <c r="G28" t="s">
        <v>194</v>
      </c>
      <c r="H28" t="s">
        <v>194</v>
      </c>
      <c r="I28" t="s">
        <v>194</v>
      </c>
      <c r="J28" t="s">
        <v>194</v>
      </c>
      <c r="L28" s="32" t="s">
        <v>194</v>
      </c>
      <c r="M28" s="32" t="s">
        <v>194</v>
      </c>
      <c r="N28" s="128">
        <f>SUMIFS($E$18:$E$317,$I$18:$I$317,L28,$J$18:$J$317,M28)</f>
        <v>4433881.2567390697</v>
      </c>
      <c r="O28" s="127">
        <f>SUMIFS($F$18:$F$317,$I$18:$I$317,L28,$J$18:$J$317,M28)</f>
        <v>1671</v>
      </c>
    </row>
    <row r="29" spans="2:17" x14ac:dyDescent="0.3">
      <c r="B29">
        <v>12</v>
      </c>
      <c r="C29" s="55">
        <v>28290.913648453192</v>
      </c>
      <c r="D29">
        <v>12</v>
      </c>
      <c r="E29" s="55">
        <v>28978.531980982218</v>
      </c>
      <c r="F29">
        <v>12</v>
      </c>
      <c r="G29" t="s">
        <v>194</v>
      </c>
      <c r="H29" t="s">
        <v>194</v>
      </c>
      <c r="I29" t="s">
        <v>194</v>
      </c>
      <c r="J29" t="s">
        <v>194</v>
      </c>
      <c r="L29" s="32" t="s">
        <v>194</v>
      </c>
      <c r="M29" s="32" t="s">
        <v>183</v>
      </c>
      <c r="N29" s="128">
        <f>SUMIFS($E$18:$E$317,$I$18:$I$317,L29,$J$18:$J$317,M29)</f>
        <v>1449063.6311583146</v>
      </c>
      <c r="O29" s="127">
        <f>SUMIFS($F$18:$F$317,$I$18:$I$317,L29,$J$18:$J$317,M29)</f>
        <v>405</v>
      </c>
    </row>
    <row r="30" spans="2:17" x14ac:dyDescent="0.3">
      <c r="B30">
        <v>13</v>
      </c>
      <c r="C30" s="55">
        <v>28595.816896741704</v>
      </c>
      <c r="D30">
        <v>12</v>
      </c>
      <c r="E30" s="55">
        <v>30060.142762212443</v>
      </c>
      <c r="F30">
        <v>12</v>
      </c>
      <c r="G30" t="s">
        <v>194</v>
      </c>
      <c r="H30" t="s">
        <v>194</v>
      </c>
      <c r="I30" t="s">
        <v>194</v>
      </c>
      <c r="J30" t="s">
        <v>194</v>
      </c>
      <c r="L30" s="32" t="s">
        <v>183</v>
      </c>
      <c r="M30" s="32" t="s">
        <v>194</v>
      </c>
      <c r="N30" s="128">
        <f>SUMIFS($E$18:$E$317,$I$18:$I$317,L30,$J$18:$J$317,M30)</f>
        <v>1156101.92145677</v>
      </c>
      <c r="O30" s="127">
        <f>SUMIFS($F$18:$F$317,$I$18:$I$317,L30,$J$18:$J$317,M30)</f>
        <v>337</v>
      </c>
    </row>
    <row r="31" spans="2:17" x14ac:dyDescent="0.3">
      <c r="B31">
        <v>14</v>
      </c>
      <c r="C31" s="55">
        <v>40103.973220916989</v>
      </c>
      <c r="D31">
        <v>12</v>
      </c>
      <c r="E31" s="55">
        <v>24216.424908968373</v>
      </c>
      <c r="F31">
        <v>12</v>
      </c>
      <c r="G31" t="s">
        <v>194</v>
      </c>
      <c r="H31" t="s">
        <v>194</v>
      </c>
      <c r="I31" t="s">
        <v>194</v>
      </c>
      <c r="J31" t="s">
        <v>194</v>
      </c>
      <c r="L31" s="35" t="s">
        <v>183</v>
      </c>
      <c r="M31" s="35" t="s">
        <v>183</v>
      </c>
      <c r="N31" s="130">
        <f>SUMIFS($E$18:$E$317,$I$18:$I$317,L31,$J$18:$J$317,M31)</f>
        <v>3211364.6652081213</v>
      </c>
      <c r="O31" s="129">
        <f>SUMIFS($F$18:$F$317,$I$18:$I$317,L31,$J$18:$J$317,M31)</f>
        <v>966</v>
      </c>
    </row>
    <row r="32" spans="2:17" x14ac:dyDescent="0.3">
      <c r="B32">
        <v>15</v>
      </c>
      <c r="C32" s="55">
        <v>22819.084360400448</v>
      </c>
      <c r="D32">
        <v>12</v>
      </c>
      <c r="E32" s="55">
        <v>34005.002696687407</v>
      </c>
      <c r="F32">
        <v>12</v>
      </c>
      <c r="G32" t="s">
        <v>194</v>
      </c>
      <c r="H32" t="s">
        <v>194</v>
      </c>
      <c r="I32" t="s">
        <v>194</v>
      </c>
      <c r="J32" t="s">
        <v>194</v>
      </c>
      <c r="L32" s="32" t="s">
        <v>627</v>
      </c>
      <c r="M32" s="32"/>
      <c r="N32" s="128">
        <f>SUM(N28:N31)</f>
        <v>10250411.474562276</v>
      </c>
      <c r="O32" s="127">
        <f>SUM(O28:O31)</f>
        <v>3379</v>
      </c>
    </row>
    <row r="33" spans="2:25" x14ac:dyDescent="0.3">
      <c r="B33">
        <v>16</v>
      </c>
      <c r="C33" s="55">
        <v>29627.100698326154</v>
      </c>
      <c r="D33">
        <v>12</v>
      </c>
      <c r="E33" s="55">
        <v>39864.574638930892</v>
      </c>
      <c r="F33">
        <v>12</v>
      </c>
      <c r="G33" t="s">
        <v>194</v>
      </c>
      <c r="H33" t="s">
        <v>194</v>
      </c>
      <c r="I33" t="s">
        <v>194</v>
      </c>
      <c r="J33" t="s">
        <v>194</v>
      </c>
    </row>
    <row r="34" spans="2:25" x14ac:dyDescent="0.3">
      <c r="B34">
        <v>17</v>
      </c>
      <c r="C34" s="55">
        <v>29638.424331150105</v>
      </c>
      <c r="D34">
        <v>12</v>
      </c>
      <c r="E34" s="55">
        <v>32378.790361026862</v>
      </c>
      <c r="F34">
        <v>12</v>
      </c>
      <c r="G34" t="s">
        <v>194</v>
      </c>
      <c r="H34" t="s">
        <v>194</v>
      </c>
      <c r="I34" t="s">
        <v>194</v>
      </c>
      <c r="J34" t="s">
        <v>194</v>
      </c>
    </row>
    <row r="35" spans="2:25" x14ac:dyDescent="0.3">
      <c r="B35">
        <v>18</v>
      </c>
      <c r="C35" s="55">
        <v>33381.749024840319</v>
      </c>
      <c r="D35">
        <v>12</v>
      </c>
      <c r="E35" s="55">
        <v>28552.482306013357</v>
      </c>
      <c r="F35">
        <v>12</v>
      </c>
      <c r="G35" t="s">
        <v>194</v>
      </c>
      <c r="H35" t="s">
        <v>194</v>
      </c>
      <c r="I35" t="s">
        <v>194</v>
      </c>
      <c r="J35" t="s">
        <v>194</v>
      </c>
      <c r="L35" t="s">
        <v>744</v>
      </c>
      <c r="N35" s="23" t="s">
        <v>743</v>
      </c>
      <c r="O35" s="23"/>
      <c r="P35" s="23"/>
      <c r="Q35" s="23"/>
      <c r="R35" s="23"/>
      <c r="S35" s="23"/>
      <c r="T35" s="23"/>
      <c r="U35" s="23"/>
      <c r="V35" s="23"/>
      <c r="W35" s="23"/>
      <c r="X35" s="23"/>
      <c r="Y35" s="23"/>
    </row>
    <row r="36" spans="2:25" x14ac:dyDescent="0.3">
      <c r="B36">
        <v>19</v>
      </c>
      <c r="C36" s="55">
        <v>26495.471569553076</v>
      </c>
      <c r="D36">
        <v>12</v>
      </c>
      <c r="E36" s="55">
        <v>31483.826131482776</v>
      </c>
      <c r="F36">
        <v>12</v>
      </c>
      <c r="G36" t="s">
        <v>194</v>
      </c>
      <c r="H36" t="s">
        <v>194</v>
      </c>
      <c r="I36" t="s">
        <v>194</v>
      </c>
      <c r="J36" t="s">
        <v>194</v>
      </c>
    </row>
    <row r="37" spans="2:25" x14ac:dyDescent="0.3">
      <c r="B37">
        <v>20</v>
      </c>
      <c r="C37" s="55">
        <v>34525.49836963656</v>
      </c>
      <c r="D37">
        <v>12</v>
      </c>
      <c r="E37" s="55">
        <v>18764.059950831688</v>
      </c>
      <c r="F37">
        <v>12</v>
      </c>
      <c r="G37" t="s">
        <v>194</v>
      </c>
      <c r="H37" t="s">
        <v>194</v>
      </c>
      <c r="I37" t="s">
        <v>194</v>
      </c>
      <c r="J37" t="s">
        <v>194</v>
      </c>
      <c r="L37" s="35"/>
      <c r="M37" s="35" t="s">
        <v>662</v>
      </c>
      <c r="N37" s="35" t="s">
        <v>132</v>
      </c>
      <c r="O37" s="32"/>
      <c r="P37" s="32"/>
      <c r="Q37" s="32"/>
      <c r="R37" s="32"/>
    </row>
    <row r="38" spans="2:25" x14ac:dyDescent="0.3">
      <c r="B38">
        <v>21</v>
      </c>
      <c r="C38" s="55">
        <v>28503.462785446485</v>
      </c>
      <c r="D38">
        <v>12</v>
      </c>
      <c r="E38" s="55">
        <v>31403.170069202024</v>
      </c>
      <c r="F38">
        <v>12</v>
      </c>
      <c r="G38" t="s">
        <v>194</v>
      </c>
      <c r="H38" t="s">
        <v>194</v>
      </c>
      <c r="I38" t="s">
        <v>194</v>
      </c>
      <c r="J38" t="s">
        <v>194</v>
      </c>
      <c r="L38" s="32" t="s">
        <v>226</v>
      </c>
      <c r="M38" s="128">
        <f>N20</f>
        <v>3884646.7139145946</v>
      </c>
      <c r="N38" s="128">
        <f>N28</f>
        <v>4433881.2567390697</v>
      </c>
    </row>
    <row r="39" spans="2:25" x14ac:dyDescent="0.3">
      <c r="B39">
        <v>22</v>
      </c>
      <c r="C39" s="55">
        <v>25238.806972885861</v>
      </c>
      <c r="D39">
        <v>12</v>
      </c>
      <c r="E39" s="55">
        <v>15808.087851913575</v>
      </c>
      <c r="F39">
        <v>12</v>
      </c>
      <c r="G39" t="s">
        <v>194</v>
      </c>
      <c r="H39" t="s">
        <v>194</v>
      </c>
      <c r="I39" t="s">
        <v>194</v>
      </c>
      <c r="J39" t="s">
        <v>194</v>
      </c>
      <c r="L39" s="32" t="s">
        <v>742</v>
      </c>
      <c r="M39" s="128">
        <f>O20</f>
        <v>1630</v>
      </c>
      <c r="N39" s="128">
        <f>O28</f>
        <v>1671</v>
      </c>
    </row>
    <row r="40" spans="2:25" x14ac:dyDescent="0.3">
      <c r="B40">
        <v>23</v>
      </c>
      <c r="C40" s="55">
        <v>35033.204072946814</v>
      </c>
      <c r="D40">
        <v>12</v>
      </c>
      <c r="E40" s="55">
        <v>30673.360951007344</v>
      </c>
      <c r="F40">
        <v>12</v>
      </c>
      <c r="G40" t="s">
        <v>194</v>
      </c>
      <c r="H40" t="s">
        <v>194</v>
      </c>
      <c r="I40" t="s">
        <v>194</v>
      </c>
      <c r="J40" t="s">
        <v>194</v>
      </c>
      <c r="L40" s="32" t="s">
        <v>741</v>
      </c>
      <c r="M40" s="143">
        <f>M38/M39</f>
        <v>2383.2188428923891</v>
      </c>
      <c r="N40" s="143">
        <f>N38/N39</f>
        <v>2653.4298364686233</v>
      </c>
    </row>
    <row r="41" spans="2:25" x14ac:dyDescent="0.3">
      <c r="B41">
        <v>24</v>
      </c>
      <c r="C41" s="55">
        <v>25626.436112110241</v>
      </c>
      <c r="D41">
        <v>12</v>
      </c>
      <c r="E41" s="55">
        <v>42296.555378150551</v>
      </c>
      <c r="F41">
        <v>12</v>
      </c>
      <c r="G41" t="s">
        <v>194</v>
      </c>
      <c r="H41" t="s">
        <v>194</v>
      </c>
      <c r="I41" t="s">
        <v>194</v>
      </c>
      <c r="J41" t="s">
        <v>194</v>
      </c>
    </row>
    <row r="42" spans="2:25" x14ac:dyDescent="0.3">
      <c r="B42">
        <v>25</v>
      </c>
      <c r="C42" s="55">
        <v>16669.322259211032</v>
      </c>
      <c r="D42">
        <v>12</v>
      </c>
      <c r="E42" s="55">
        <v>35923.285797621924</v>
      </c>
      <c r="F42">
        <v>12</v>
      </c>
      <c r="G42" t="s">
        <v>194</v>
      </c>
      <c r="H42" t="s">
        <v>194</v>
      </c>
      <c r="I42" t="s">
        <v>194</v>
      </c>
      <c r="J42" t="s">
        <v>194</v>
      </c>
      <c r="M42" s="146">
        <f>N40/M40-1</f>
        <v>0.11338068863549822</v>
      </c>
      <c r="N42" s="23" t="s">
        <v>740</v>
      </c>
    </row>
    <row r="43" spans="2:25" x14ac:dyDescent="0.3">
      <c r="B43">
        <v>26</v>
      </c>
      <c r="C43" s="55">
        <v>19636.413055177196</v>
      </c>
      <c r="D43">
        <v>12</v>
      </c>
      <c r="E43" s="55">
        <v>34598.6018922937</v>
      </c>
      <c r="F43">
        <v>12</v>
      </c>
      <c r="G43" t="s">
        <v>194</v>
      </c>
      <c r="H43" t="s">
        <v>194</v>
      </c>
      <c r="I43" t="s">
        <v>194</v>
      </c>
      <c r="J43" t="s">
        <v>194</v>
      </c>
      <c r="O43" s="145"/>
      <c r="P43" s="145"/>
      <c r="Q43" s="26"/>
      <c r="R43" s="26"/>
    </row>
    <row r="44" spans="2:25" x14ac:dyDescent="0.3">
      <c r="B44">
        <v>27</v>
      </c>
      <c r="C44" s="55">
        <v>27527.409354191517</v>
      </c>
      <c r="D44">
        <v>12</v>
      </c>
      <c r="E44" s="55">
        <v>25535.273851169077</v>
      </c>
      <c r="F44">
        <v>12</v>
      </c>
      <c r="G44" t="s">
        <v>194</v>
      </c>
      <c r="H44" t="s">
        <v>194</v>
      </c>
      <c r="I44" t="s">
        <v>194</v>
      </c>
      <c r="J44" t="s">
        <v>194</v>
      </c>
      <c r="L44" s="35" t="s">
        <v>739</v>
      </c>
      <c r="M44" s="35" t="s">
        <v>628</v>
      </c>
      <c r="N44" s="35" t="s">
        <v>738</v>
      </c>
      <c r="O44" s="35" t="s">
        <v>737</v>
      </c>
    </row>
    <row r="45" spans="2:25" x14ac:dyDescent="0.3">
      <c r="B45">
        <v>28</v>
      </c>
      <c r="C45" s="55">
        <v>31549.447629357983</v>
      </c>
      <c r="D45">
        <v>12</v>
      </c>
      <c r="E45" s="55">
        <v>27230.261197986227</v>
      </c>
      <c r="F45">
        <v>12</v>
      </c>
      <c r="G45" t="s">
        <v>194</v>
      </c>
      <c r="H45" t="s">
        <v>194</v>
      </c>
      <c r="I45" t="s">
        <v>194</v>
      </c>
      <c r="J45" t="s">
        <v>194</v>
      </c>
      <c r="L45" s="32" t="s">
        <v>631</v>
      </c>
      <c r="M45" s="128">
        <f>O30</f>
        <v>337</v>
      </c>
      <c r="N45" s="143">
        <f>N22/O22</f>
        <v>2581.9617272629293</v>
      </c>
      <c r="O45" s="143">
        <f>N30/O30</f>
        <v>3430.5694998717213</v>
      </c>
    </row>
    <row r="46" spans="2:25" x14ac:dyDescent="0.3">
      <c r="B46">
        <v>29</v>
      </c>
      <c r="C46" s="55">
        <v>32205.810433571274</v>
      </c>
      <c r="D46">
        <v>12</v>
      </c>
      <c r="E46" s="55">
        <v>26776.52569740589</v>
      </c>
      <c r="F46">
        <v>12</v>
      </c>
      <c r="G46" t="s">
        <v>194</v>
      </c>
      <c r="H46" t="s">
        <v>194</v>
      </c>
      <c r="I46" t="s">
        <v>194</v>
      </c>
      <c r="J46" t="s">
        <v>194</v>
      </c>
      <c r="L46" s="32" t="s">
        <v>630</v>
      </c>
      <c r="M46" s="128">
        <f>O29</f>
        <v>405</v>
      </c>
      <c r="N46" s="143">
        <f>N21/O21</f>
        <v>3171.8328485144839</v>
      </c>
      <c r="O46" s="143">
        <f>N29/O29</f>
        <v>3577.9348917489251</v>
      </c>
    </row>
    <row r="47" spans="2:25" x14ac:dyDescent="0.3">
      <c r="B47">
        <v>30</v>
      </c>
      <c r="C47" s="55">
        <v>17033.844121752194</v>
      </c>
      <c r="D47">
        <v>12</v>
      </c>
      <c r="E47" s="55">
        <v>32269.108330711417</v>
      </c>
      <c r="F47">
        <v>12</v>
      </c>
      <c r="G47" t="s">
        <v>194</v>
      </c>
      <c r="H47" t="s">
        <v>194</v>
      </c>
      <c r="I47" t="s">
        <v>194</v>
      </c>
      <c r="J47" t="s">
        <v>194</v>
      </c>
      <c r="L47" s="35" t="s">
        <v>736</v>
      </c>
      <c r="M47" s="130">
        <f>O31</f>
        <v>966</v>
      </c>
      <c r="N47" s="144">
        <f>N23/O23</f>
        <v>3536.7981887989786</v>
      </c>
      <c r="O47" s="144">
        <f>N31/O31</f>
        <v>3324.3940633624443</v>
      </c>
    </row>
    <row r="48" spans="2:25" x14ac:dyDescent="0.3">
      <c r="B48">
        <v>31</v>
      </c>
      <c r="C48" s="55">
        <v>23881.759761680689</v>
      </c>
      <c r="D48">
        <v>12</v>
      </c>
      <c r="E48" s="55">
        <v>21628.489986099521</v>
      </c>
      <c r="F48">
        <v>12</v>
      </c>
      <c r="G48" t="s">
        <v>194</v>
      </c>
      <c r="H48" t="s">
        <v>194</v>
      </c>
      <c r="I48" t="s">
        <v>194</v>
      </c>
      <c r="J48" t="s">
        <v>194</v>
      </c>
      <c r="L48" s="32" t="s">
        <v>597</v>
      </c>
      <c r="M48" s="32"/>
      <c r="N48" s="143">
        <f>SUMPRODUCT(N45:N47,M45:M47)/SUM(M45:M47)</f>
        <v>3261.8620937446053</v>
      </c>
      <c r="O48" s="143">
        <f>SUMPRODUCT(O45:O47,M45:M47)/SUM(M45:M47)</f>
        <v>3405.4626568051553</v>
      </c>
      <c r="P48" s="23" t="s">
        <v>735</v>
      </c>
      <c r="Q48" s="23"/>
      <c r="R48" s="23"/>
    </row>
    <row r="49" spans="2:13" x14ac:dyDescent="0.3">
      <c r="B49">
        <v>32</v>
      </c>
      <c r="C49" s="55">
        <v>28398.700073011321</v>
      </c>
      <c r="D49">
        <v>12</v>
      </c>
      <c r="E49" s="55">
        <v>32368.208584331252</v>
      </c>
      <c r="F49">
        <v>12</v>
      </c>
      <c r="G49" t="s">
        <v>194</v>
      </c>
      <c r="H49" t="s">
        <v>194</v>
      </c>
      <c r="I49" t="s">
        <v>194</v>
      </c>
      <c r="J49" t="s">
        <v>194</v>
      </c>
    </row>
    <row r="50" spans="2:13" x14ac:dyDescent="0.3">
      <c r="B50">
        <v>33</v>
      </c>
      <c r="C50" s="55">
        <v>35339.327014596551</v>
      </c>
      <c r="D50">
        <v>12</v>
      </c>
      <c r="E50" s="55">
        <v>35784.426058376725</v>
      </c>
      <c r="F50">
        <v>12</v>
      </c>
      <c r="G50" t="s">
        <v>194</v>
      </c>
      <c r="H50" t="s">
        <v>194</v>
      </c>
      <c r="I50" t="s">
        <v>194</v>
      </c>
      <c r="J50" t="s">
        <v>194</v>
      </c>
      <c r="L50" s="18" t="s">
        <v>734</v>
      </c>
      <c r="M50" s="143">
        <f>N48</f>
        <v>3261.8620937446053</v>
      </c>
    </row>
    <row r="51" spans="2:13" x14ac:dyDescent="0.3">
      <c r="B51">
        <v>34</v>
      </c>
      <c r="C51" s="55">
        <v>32960.832288570942</v>
      </c>
      <c r="D51">
        <v>12</v>
      </c>
      <c r="E51" s="55">
        <v>32430.646106959732</v>
      </c>
      <c r="F51">
        <v>12</v>
      </c>
      <c r="G51" t="s">
        <v>194</v>
      </c>
      <c r="H51" t="s">
        <v>194</v>
      </c>
      <c r="I51" t="s">
        <v>194</v>
      </c>
      <c r="J51" t="s">
        <v>194</v>
      </c>
      <c r="L51" s="18" t="s">
        <v>733</v>
      </c>
      <c r="M51" s="143">
        <f>M50*(1+M42)</f>
        <v>3631.6942641673968</v>
      </c>
    </row>
    <row r="52" spans="2:13" x14ac:dyDescent="0.3">
      <c r="B52">
        <v>35</v>
      </c>
      <c r="C52" s="55">
        <v>36533.822396319345</v>
      </c>
      <c r="D52">
        <v>12</v>
      </c>
      <c r="E52" s="55">
        <v>36182.605695590428</v>
      </c>
      <c r="F52">
        <v>12</v>
      </c>
      <c r="G52" t="s">
        <v>194</v>
      </c>
      <c r="H52" t="s">
        <v>194</v>
      </c>
      <c r="I52" t="s">
        <v>194</v>
      </c>
      <c r="J52" t="s">
        <v>194</v>
      </c>
      <c r="L52" s="18" t="s">
        <v>732</v>
      </c>
      <c r="M52" s="143">
        <f>O48</f>
        <v>3405.4626568051553</v>
      </c>
    </row>
    <row r="53" spans="2:13" x14ac:dyDescent="0.3">
      <c r="B53">
        <v>36</v>
      </c>
      <c r="C53" s="55">
        <v>36362.728024470358</v>
      </c>
      <c r="D53">
        <v>12</v>
      </c>
      <c r="E53" s="55">
        <v>26533.266319672752</v>
      </c>
      <c r="F53">
        <v>12</v>
      </c>
      <c r="G53" t="s">
        <v>194</v>
      </c>
      <c r="H53" t="s">
        <v>194</v>
      </c>
      <c r="I53" t="s">
        <v>194</v>
      </c>
      <c r="J53" t="s">
        <v>194</v>
      </c>
      <c r="L53" s="18" t="s">
        <v>731</v>
      </c>
      <c r="M53" s="143">
        <f>M51-M52</f>
        <v>226.23160736224145</v>
      </c>
    </row>
    <row r="54" spans="2:13" x14ac:dyDescent="0.3">
      <c r="B54">
        <v>37</v>
      </c>
      <c r="C54" s="55">
        <v>29850.863483861736</v>
      </c>
      <c r="D54">
        <v>12</v>
      </c>
      <c r="E54" s="55">
        <v>20274.844868587905</v>
      </c>
      <c r="F54">
        <v>12</v>
      </c>
      <c r="G54" t="s">
        <v>194</v>
      </c>
      <c r="H54" t="s">
        <v>194</v>
      </c>
      <c r="I54" t="s">
        <v>194</v>
      </c>
      <c r="J54" t="s">
        <v>194</v>
      </c>
      <c r="L54" s="18"/>
      <c r="M54" s="143"/>
    </row>
    <row r="55" spans="2:13" x14ac:dyDescent="0.3">
      <c r="B55">
        <v>38</v>
      </c>
      <c r="C55" s="55">
        <v>27607.23158554202</v>
      </c>
      <c r="D55">
        <v>12</v>
      </c>
      <c r="E55" s="55">
        <v>27187.209609955564</v>
      </c>
      <c r="F55">
        <v>12</v>
      </c>
      <c r="G55" t="s">
        <v>194</v>
      </c>
      <c r="H55" t="s">
        <v>194</v>
      </c>
      <c r="I55" t="s">
        <v>194</v>
      </c>
      <c r="J55" t="s">
        <v>194</v>
      </c>
      <c r="L55" s="18" t="s">
        <v>712</v>
      </c>
      <c r="M55" s="143">
        <f>B10</f>
        <v>50</v>
      </c>
    </row>
    <row r="56" spans="2:13" x14ac:dyDescent="0.3">
      <c r="B56">
        <v>39</v>
      </c>
      <c r="C56" s="55">
        <v>23756.72851455017</v>
      </c>
      <c r="D56">
        <v>12</v>
      </c>
      <c r="E56" s="55">
        <v>36545.765371783098</v>
      </c>
      <c r="F56">
        <v>12</v>
      </c>
      <c r="G56" t="s">
        <v>194</v>
      </c>
      <c r="H56" t="s">
        <v>194</v>
      </c>
      <c r="I56" t="s">
        <v>194</v>
      </c>
      <c r="J56" t="s">
        <v>194</v>
      </c>
      <c r="L56" s="18"/>
    </row>
    <row r="57" spans="2:13" x14ac:dyDescent="0.3">
      <c r="B57">
        <v>40</v>
      </c>
      <c r="C57" s="55">
        <v>27848.364800219806</v>
      </c>
      <c r="D57">
        <v>12</v>
      </c>
      <c r="E57" s="55">
        <v>36633.307364836764</v>
      </c>
      <c r="F57">
        <v>12</v>
      </c>
      <c r="G57" t="s">
        <v>194</v>
      </c>
      <c r="H57" t="s">
        <v>194</v>
      </c>
      <c r="I57" t="s">
        <v>194</v>
      </c>
      <c r="J57" t="s">
        <v>194</v>
      </c>
      <c r="L57" s="18" t="s">
        <v>711</v>
      </c>
      <c r="M57" s="70">
        <f>M53/M55</f>
        <v>4.5246321472448292</v>
      </c>
    </row>
    <row r="58" spans="2:13" x14ac:dyDescent="0.3">
      <c r="B58">
        <v>41</v>
      </c>
      <c r="C58" s="55">
        <v>26679.777917010899</v>
      </c>
      <c r="D58">
        <v>12</v>
      </c>
      <c r="E58" s="55">
        <v>39573.10103394054</v>
      </c>
      <c r="F58">
        <v>12</v>
      </c>
      <c r="G58" t="s">
        <v>194</v>
      </c>
      <c r="H58" t="s">
        <v>194</v>
      </c>
      <c r="I58" t="s">
        <v>194</v>
      </c>
      <c r="J58" t="s">
        <v>194</v>
      </c>
    </row>
    <row r="59" spans="2:13" x14ac:dyDescent="0.3">
      <c r="B59">
        <v>42</v>
      </c>
      <c r="C59" s="55">
        <v>27621.87784402063</v>
      </c>
      <c r="D59">
        <v>12</v>
      </c>
      <c r="E59" s="55">
        <v>35199.775564764845</v>
      </c>
      <c r="F59">
        <v>12</v>
      </c>
      <c r="G59" t="s">
        <v>194</v>
      </c>
      <c r="H59" t="s">
        <v>194</v>
      </c>
      <c r="I59" t="s">
        <v>194</v>
      </c>
      <c r="J59" t="s">
        <v>194</v>
      </c>
    </row>
    <row r="60" spans="2:13" x14ac:dyDescent="0.3">
      <c r="B60">
        <v>43</v>
      </c>
      <c r="C60" s="55">
        <v>20890.762519104508</v>
      </c>
      <c r="D60">
        <v>12</v>
      </c>
      <c r="E60" s="55">
        <v>33621.355543287333</v>
      </c>
      <c r="F60">
        <v>12</v>
      </c>
      <c r="G60" t="s">
        <v>194</v>
      </c>
      <c r="H60" t="s">
        <v>194</v>
      </c>
      <c r="I60" t="s">
        <v>194</v>
      </c>
      <c r="J60" t="s">
        <v>194</v>
      </c>
    </row>
    <row r="61" spans="2:13" x14ac:dyDescent="0.3">
      <c r="B61">
        <v>44</v>
      </c>
      <c r="C61" s="55">
        <v>21361.735311668774</v>
      </c>
      <c r="D61">
        <v>12</v>
      </c>
      <c r="E61" s="55">
        <v>26825.144590618595</v>
      </c>
      <c r="F61">
        <v>12</v>
      </c>
      <c r="G61" t="s">
        <v>194</v>
      </c>
      <c r="H61" t="s">
        <v>194</v>
      </c>
      <c r="I61" t="s">
        <v>194</v>
      </c>
      <c r="J61" t="s">
        <v>194</v>
      </c>
    </row>
    <row r="62" spans="2:13" x14ac:dyDescent="0.3">
      <c r="B62">
        <v>45</v>
      </c>
      <c r="C62" s="55">
        <v>22829.07314948209</v>
      </c>
      <c r="D62">
        <v>12</v>
      </c>
      <c r="E62" s="55">
        <v>34611.909663278842</v>
      </c>
      <c r="F62">
        <v>12</v>
      </c>
      <c r="G62" t="s">
        <v>194</v>
      </c>
      <c r="H62" t="s">
        <v>194</v>
      </c>
      <c r="I62" t="s">
        <v>194</v>
      </c>
      <c r="J62" t="s">
        <v>194</v>
      </c>
    </row>
    <row r="63" spans="2:13" x14ac:dyDescent="0.3">
      <c r="B63">
        <v>46</v>
      </c>
      <c r="C63" s="55">
        <v>14031.645124534058</v>
      </c>
      <c r="D63">
        <v>12</v>
      </c>
      <c r="E63" s="55">
        <v>33958.760935037062</v>
      </c>
      <c r="F63">
        <v>12</v>
      </c>
      <c r="G63" t="s">
        <v>194</v>
      </c>
      <c r="H63" t="s">
        <v>194</v>
      </c>
      <c r="I63" t="s">
        <v>194</v>
      </c>
      <c r="J63" t="s">
        <v>194</v>
      </c>
    </row>
    <row r="64" spans="2:13" x14ac:dyDescent="0.3">
      <c r="B64">
        <v>47</v>
      </c>
      <c r="C64" s="55">
        <v>30217.887012241961</v>
      </c>
      <c r="D64">
        <v>12</v>
      </c>
      <c r="E64" s="55">
        <v>20641.777230976295</v>
      </c>
      <c r="F64">
        <v>12</v>
      </c>
      <c r="G64" t="s">
        <v>194</v>
      </c>
      <c r="H64" t="s">
        <v>194</v>
      </c>
      <c r="I64" t="s">
        <v>194</v>
      </c>
      <c r="J64" t="s">
        <v>194</v>
      </c>
    </row>
    <row r="65" spans="2:10" x14ac:dyDescent="0.3">
      <c r="B65">
        <v>48</v>
      </c>
      <c r="C65" s="55">
        <v>27146.625446763268</v>
      </c>
      <c r="D65">
        <v>12</v>
      </c>
      <c r="E65" s="55">
        <v>26051.395058303162</v>
      </c>
      <c r="F65">
        <v>12</v>
      </c>
      <c r="G65" t="s">
        <v>194</v>
      </c>
      <c r="H65" t="s">
        <v>194</v>
      </c>
      <c r="I65" t="s">
        <v>194</v>
      </c>
      <c r="J65" t="s">
        <v>194</v>
      </c>
    </row>
    <row r="66" spans="2:10" x14ac:dyDescent="0.3">
      <c r="B66">
        <v>49</v>
      </c>
      <c r="C66" s="55">
        <v>26176.308255573444</v>
      </c>
      <c r="D66">
        <v>12</v>
      </c>
      <c r="E66" s="55">
        <v>34302.513030500639</v>
      </c>
      <c r="F66">
        <v>12</v>
      </c>
      <c r="G66" t="s">
        <v>194</v>
      </c>
      <c r="H66" t="s">
        <v>194</v>
      </c>
      <c r="I66" t="s">
        <v>194</v>
      </c>
      <c r="J66" t="s">
        <v>194</v>
      </c>
    </row>
    <row r="67" spans="2:10" x14ac:dyDescent="0.3">
      <c r="B67">
        <v>50</v>
      </c>
      <c r="C67" s="55">
        <v>26394.471961747768</v>
      </c>
      <c r="D67">
        <v>12</v>
      </c>
      <c r="E67" s="55">
        <v>32657.020957024586</v>
      </c>
      <c r="F67">
        <v>12</v>
      </c>
      <c r="G67" t="s">
        <v>194</v>
      </c>
      <c r="H67" t="s">
        <v>194</v>
      </c>
      <c r="I67" t="s">
        <v>194</v>
      </c>
      <c r="J67" t="s">
        <v>194</v>
      </c>
    </row>
    <row r="68" spans="2:10" x14ac:dyDescent="0.3">
      <c r="B68">
        <v>51</v>
      </c>
      <c r="C68" s="55">
        <v>33826.408859246716</v>
      </c>
      <c r="D68">
        <v>12</v>
      </c>
      <c r="E68" s="55">
        <v>37925.480533743961</v>
      </c>
      <c r="F68">
        <v>12</v>
      </c>
      <c r="G68" t="s">
        <v>194</v>
      </c>
      <c r="H68" t="s">
        <v>194</v>
      </c>
      <c r="I68" t="s">
        <v>194</v>
      </c>
      <c r="J68" t="s">
        <v>194</v>
      </c>
    </row>
    <row r="69" spans="2:10" x14ac:dyDescent="0.3">
      <c r="B69">
        <v>52</v>
      </c>
      <c r="C69" s="55">
        <v>31598.885920975001</v>
      </c>
      <c r="D69">
        <v>12</v>
      </c>
      <c r="E69" s="55">
        <v>36588.190557234971</v>
      </c>
      <c r="F69">
        <v>12</v>
      </c>
      <c r="G69" t="s">
        <v>194</v>
      </c>
      <c r="H69" t="s">
        <v>194</v>
      </c>
      <c r="I69" t="s">
        <v>194</v>
      </c>
      <c r="J69" t="s">
        <v>194</v>
      </c>
    </row>
    <row r="70" spans="2:10" x14ac:dyDescent="0.3">
      <c r="B70">
        <v>53</v>
      </c>
      <c r="C70" s="55">
        <v>29609.012227060637</v>
      </c>
      <c r="D70">
        <v>12</v>
      </c>
      <c r="E70" s="55">
        <v>29094.490267685789</v>
      </c>
      <c r="F70">
        <v>12</v>
      </c>
      <c r="G70" t="s">
        <v>194</v>
      </c>
      <c r="H70" t="s">
        <v>194</v>
      </c>
      <c r="I70" t="s">
        <v>194</v>
      </c>
      <c r="J70" t="s">
        <v>194</v>
      </c>
    </row>
    <row r="71" spans="2:10" x14ac:dyDescent="0.3">
      <c r="B71">
        <v>54</v>
      </c>
      <c r="C71" s="55">
        <v>29555.312872159902</v>
      </c>
      <c r="D71">
        <v>12</v>
      </c>
      <c r="E71" s="55">
        <v>37946.092171396034</v>
      </c>
      <c r="F71">
        <v>12</v>
      </c>
      <c r="G71" t="s">
        <v>194</v>
      </c>
      <c r="H71" t="s">
        <v>194</v>
      </c>
      <c r="I71" t="s">
        <v>194</v>
      </c>
      <c r="J71" t="s">
        <v>194</v>
      </c>
    </row>
    <row r="72" spans="2:10" x14ac:dyDescent="0.3">
      <c r="B72">
        <v>55</v>
      </c>
      <c r="C72" s="55">
        <v>34915.923895970089</v>
      </c>
      <c r="D72">
        <v>12</v>
      </c>
      <c r="E72" s="55">
        <v>20611.93055596159</v>
      </c>
      <c r="F72">
        <v>12</v>
      </c>
      <c r="G72" t="s">
        <v>194</v>
      </c>
      <c r="H72" t="s">
        <v>194</v>
      </c>
      <c r="I72" t="s">
        <v>194</v>
      </c>
      <c r="J72" t="s">
        <v>194</v>
      </c>
    </row>
    <row r="73" spans="2:10" x14ac:dyDescent="0.3">
      <c r="B73">
        <v>56</v>
      </c>
      <c r="C73" s="55">
        <v>24371.734202432261</v>
      </c>
      <c r="D73">
        <v>12</v>
      </c>
      <c r="E73" s="55">
        <v>38290.607951194128</v>
      </c>
      <c r="F73">
        <v>12</v>
      </c>
      <c r="G73" t="s">
        <v>194</v>
      </c>
      <c r="H73" t="s">
        <v>194</v>
      </c>
      <c r="I73" t="s">
        <v>194</v>
      </c>
      <c r="J73" t="s">
        <v>194</v>
      </c>
    </row>
    <row r="74" spans="2:10" x14ac:dyDescent="0.3">
      <c r="B74">
        <v>57</v>
      </c>
      <c r="C74" s="55">
        <v>24964.471646504484</v>
      </c>
      <c r="D74">
        <v>12</v>
      </c>
      <c r="E74" s="55">
        <v>41805.526215030302</v>
      </c>
      <c r="F74">
        <v>12</v>
      </c>
      <c r="G74" t="s">
        <v>194</v>
      </c>
      <c r="H74" t="s">
        <v>194</v>
      </c>
      <c r="I74" t="s">
        <v>194</v>
      </c>
      <c r="J74" t="s">
        <v>194</v>
      </c>
    </row>
    <row r="75" spans="2:10" x14ac:dyDescent="0.3">
      <c r="B75">
        <v>58</v>
      </c>
      <c r="C75" s="55">
        <v>29989.416489639792</v>
      </c>
      <c r="D75">
        <v>12</v>
      </c>
      <c r="E75" s="55">
        <v>38734.361964888049</v>
      </c>
      <c r="F75">
        <v>12</v>
      </c>
      <c r="G75" t="s">
        <v>194</v>
      </c>
      <c r="H75" t="s">
        <v>194</v>
      </c>
      <c r="I75" t="s">
        <v>194</v>
      </c>
      <c r="J75" t="s">
        <v>194</v>
      </c>
    </row>
    <row r="76" spans="2:10" x14ac:dyDescent="0.3">
      <c r="B76">
        <v>59</v>
      </c>
      <c r="C76" s="55">
        <v>31528.440143114822</v>
      </c>
      <c r="D76">
        <v>12</v>
      </c>
      <c r="E76" s="55">
        <v>40442.083888406611</v>
      </c>
      <c r="F76">
        <v>12</v>
      </c>
      <c r="G76" t="s">
        <v>194</v>
      </c>
      <c r="H76" t="s">
        <v>194</v>
      </c>
      <c r="I76" t="s">
        <v>194</v>
      </c>
      <c r="J76" t="s">
        <v>194</v>
      </c>
    </row>
    <row r="77" spans="2:10" x14ac:dyDescent="0.3">
      <c r="B77">
        <v>60</v>
      </c>
      <c r="C77" s="55">
        <v>38147.878518784346</v>
      </c>
      <c r="D77">
        <v>12</v>
      </c>
      <c r="E77" s="55">
        <v>34659.667165869461</v>
      </c>
      <c r="F77">
        <v>12</v>
      </c>
      <c r="G77" t="s">
        <v>194</v>
      </c>
      <c r="H77" t="s">
        <v>194</v>
      </c>
      <c r="I77" t="s">
        <v>194</v>
      </c>
      <c r="J77" t="s">
        <v>194</v>
      </c>
    </row>
    <row r="78" spans="2:10" x14ac:dyDescent="0.3">
      <c r="B78">
        <v>61</v>
      </c>
      <c r="C78" s="55">
        <v>18719.556499107821</v>
      </c>
      <c r="D78">
        <v>12</v>
      </c>
      <c r="E78" s="55">
        <v>25835.551695539467</v>
      </c>
      <c r="F78">
        <v>12</v>
      </c>
      <c r="G78" t="s">
        <v>194</v>
      </c>
      <c r="H78" t="s">
        <v>194</v>
      </c>
      <c r="I78" t="s">
        <v>194</v>
      </c>
      <c r="J78" t="s">
        <v>194</v>
      </c>
    </row>
    <row r="79" spans="2:10" x14ac:dyDescent="0.3">
      <c r="B79">
        <v>62</v>
      </c>
      <c r="C79" s="55">
        <v>23707.583556322759</v>
      </c>
      <c r="D79">
        <v>12</v>
      </c>
      <c r="E79" s="55">
        <v>31061.639727014295</v>
      </c>
      <c r="F79">
        <v>12</v>
      </c>
      <c r="G79" t="s">
        <v>194</v>
      </c>
      <c r="H79" t="s">
        <v>194</v>
      </c>
      <c r="I79" t="s">
        <v>194</v>
      </c>
      <c r="J79" t="s">
        <v>194</v>
      </c>
    </row>
    <row r="80" spans="2:10" x14ac:dyDescent="0.3">
      <c r="B80">
        <v>63</v>
      </c>
      <c r="C80" s="55">
        <v>33490.085369233537</v>
      </c>
      <c r="D80">
        <v>12</v>
      </c>
      <c r="E80" s="55">
        <v>30001.091421263875</v>
      </c>
      <c r="F80">
        <v>12</v>
      </c>
      <c r="G80" t="s">
        <v>194</v>
      </c>
      <c r="H80" t="s">
        <v>194</v>
      </c>
      <c r="I80" t="s">
        <v>194</v>
      </c>
      <c r="J80" t="s">
        <v>194</v>
      </c>
    </row>
    <row r="81" spans="2:10" x14ac:dyDescent="0.3">
      <c r="B81">
        <v>64</v>
      </c>
      <c r="C81" s="55">
        <v>32113.517347308178</v>
      </c>
      <c r="D81">
        <v>12</v>
      </c>
      <c r="E81" s="55">
        <v>36586.08174102255</v>
      </c>
      <c r="F81">
        <v>12</v>
      </c>
      <c r="G81" t="s">
        <v>194</v>
      </c>
      <c r="H81" t="s">
        <v>194</v>
      </c>
      <c r="I81" t="s">
        <v>194</v>
      </c>
      <c r="J81" t="s">
        <v>194</v>
      </c>
    </row>
    <row r="82" spans="2:10" x14ac:dyDescent="0.3">
      <c r="B82">
        <v>65</v>
      </c>
      <c r="C82" s="55">
        <v>21943.520249525653</v>
      </c>
      <c r="D82">
        <v>12</v>
      </c>
      <c r="E82" s="55">
        <v>26169.836245612623</v>
      </c>
      <c r="F82">
        <v>12</v>
      </c>
      <c r="G82" t="s">
        <v>194</v>
      </c>
      <c r="H82" t="s">
        <v>194</v>
      </c>
      <c r="I82" t="s">
        <v>194</v>
      </c>
      <c r="J82" t="s">
        <v>194</v>
      </c>
    </row>
    <row r="83" spans="2:10" x14ac:dyDescent="0.3">
      <c r="B83">
        <v>66</v>
      </c>
      <c r="C83" s="55">
        <v>33418.469336127731</v>
      </c>
      <c r="D83">
        <v>12</v>
      </c>
      <c r="E83" s="55">
        <v>30748.12483400268</v>
      </c>
      <c r="F83">
        <v>12</v>
      </c>
      <c r="G83" t="s">
        <v>194</v>
      </c>
      <c r="H83" t="s">
        <v>194</v>
      </c>
      <c r="I83" t="s">
        <v>194</v>
      </c>
      <c r="J83" t="s">
        <v>194</v>
      </c>
    </row>
    <row r="84" spans="2:10" x14ac:dyDescent="0.3">
      <c r="B84">
        <v>67</v>
      </c>
      <c r="C84" s="55">
        <v>32892.979345864558</v>
      </c>
      <c r="D84">
        <v>12</v>
      </c>
      <c r="E84" s="55">
        <v>28251.17100225122</v>
      </c>
      <c r="F84">
        <v>12</v>
      </c>
      <c r="G84" t="s">
        <v>194</v>
      </c>
      <c r="H84" t="s">
        <v>194</v>
      </c>
      <c r="I84" t="s">
        <v>194</v>
      </c>
      <c r="J84" t="s">
        <v>194</v>
      </c>
    </row>
    <row r="85" spans="2:10" x14ac:dyDescent="0.3">
      <c r="B85">
        <v>68</v>
      </c>
      <c r="C85" s="55">
        <v>31984.736315518508</v>
      </c>
      <c r="D85">
        <v>12</v>
      </c>
      <c r="E85" s="55">
        <v>35597.242101126263</v>
      </c>
      <c r="F85">
        <v>12</v>
      </c>
      <c r="G85" t="s">
        <v>194</v>
      </c>
      <c r="H85" t="s">
        <v>194</v>
      </c>
      <c r="I85" t="s">
        <v>194</v>
      </c>
      <c r="J85" t="s">
        <v>194</v>
      </c>
    </row>
    <row r="86" spans="2:10" x14ac:dyDescent="0.3">
      <c r="B86">
        <v>69</v>
      </c>
      <c r="C86" s="55">
        <v>44708.303756986279</v>
      </c>
      <c r="D86">
        <v>12</v>
      </c>
      <c r="E86" s="55">
        <v>42711.860289550605</v>
      </c>
      <c r="F86">
        <v>12</v>
      </c>
      <c r="G86" t="s">
        <v>194</v>
      </c>
      <c r="H86" t="s">
        <v>194</v>
      </c>
      <c r="I86" t="s">
        <v>194</v>
      </c>
      <c r="J86" t="s">
        <v>194</v>
      </c>
    </row>
    <row r="87" spans="2:10" x14ac:dyDescent="0.3">
      <c r="B87">
        <v>70</v>
      </c>
      <c r="C87" s="55">
        <v>28545.122185611915</v>
      </c>
      <c r="D87">
        <v>12</v>
      </c>
      <c r="E87" s="55">
        <v>29009.316838893985</v>
      </c>
      <c r="F87">
        <v>12</v>
      </c>
      <c r="G87" t="s">
        <v>194</v>
      </c>
      <c r="H87" t="s">
        <v>194</v>
      </c>
      <c r="I87" t="s">
        <v>194</v>
      </c>
      <c r="J87" t="s">
        <v>194</v>
      </c>
    </row>
    <row r="88" spans="2:10" x14ac:dyDescent="0.3">
      <c r="B88">
        <v>71</v>
      </c>
      <c r="C88" s="55">
        <v>29585.347349385083</v>
      </c>
      <c r="D88">
        <v>12</v>
      </c>
      <c r="E88" s="55">
        <v>22681.177262430068</v>
      </c>
      <c r="F88">
        <v>12</v>
      </c>
      <c r="G88" t="s">
        <v>194</v>
      </c>
      <c r="H88" t="s">
        <v>194</v>
      </c>
      <c r="I88" t="s">
        <v>194</v>
      </c>
      <c r="J88" t="s">
        <v>194</v>
      </c>
    </row>
    <row r="89" spans="2:10" x14ac:dyDescent="0.3">
      <c r="B89">
        <v>72</v>
      </c>
      <c r="C89" s="55">
        <v>21322.249105947441</v>
      </c>
      <c r="D89">
        <v>12</v>
      </c>
      <c r="E89" s="55">
        <v>33379.313307478602</v>
      </c>
      <c r="F89">
        <v>12</v>
      </c>
      <c r="G89" t="s">
        <v>194</v>
      </c>
      <c r="H89" t="s">
        <v>194</v>
      </c>
      <c r="I89" t="s">
        <v>194</v>
      </c>
      <c r="J89" t="s">
        <v>194</v>
      </c>
    </row>
    <row r="90" spans="2:10" x14ac:dyDescent="0.3">
      <c r="B90">
        <v>73</v>
      </c>
      <c r="C90" s="55">
        <v>26294.088845158345</v>
      </c>
      <c r="D90">
        <v>12</v>
      </c>
      <c r="E90" s="55">
        <v>38266.542997063108</v>
      </c>
      <c r="F90">
        <v>12</v>
      </c>
      <c r="G90" t="s">
        <v>194</v>
      </c>
      <c r="H90" t="s">
        <v>194</v>
      </c>
      <c r="I90" t="s">
        <v>194</v>
      </c>
      <c r="J90" t="s">
        <v>194</v>
      </c>
    </row>
    <row r="91" spans="2:10" x14ac:dyDescent="0.3">
      <c r="B91">
        <v>74</v>
      </c>
      <c r="C91" s="55">
        <v>21052.781426476402</v>
      </c>
      <c r="D91">
        <v>12</v>
      </c>
      <c r="E91" s="55">
        <v>30599.546913796585</v>
      </c>
      <c r="F91">
        <v>12</v>
      </c>
      <c r="G91" t="s">
        <v>194</v>
      </c>
      <c r="H91" t="s">
        <v>194</v>
      </c>
      <c r="I91" t="s">
        <v>194</v>
      </c>
      <c r="J91" t="s">
        <v>194</v>
      </c>
    </row>
    <row r="92" spans="2:10" x14ac:dyDescent="0.3">
      <c r="B92">
        <v>75</v>
      </c>
      <c r="C92" s="55">
        <v>35769.762869904233</v>
      </c>
      <c r="D92">
        <v>12</v>
      </c>
      <c r="E92" s="55">
        <v>25103.492385356301</v>
      </c>
      <c r="F92">
        <v>12</v>
      </c>
      <c r="G92" t="s">
        <v>194</v>
      </c>
      <c r="H92" t="s">
        <v>194</v>
      </c>
      <c r="I92" t="s">
        <v>194</v>
      </c>
      <c r="J92" t="s">
        <v>194</v>
      </c>
    </row>
    <row r="93" spans="2:10" x14ac:dyDescent="0.3">
      <c r="B93">
        <v>76</v>
      </c>
      <c r="C93" s="55">
        <v>32583.426440152976</v>
      </c>
      <c r="D93">
        <v>12</v>
      </c>
      <c r="E93" s="55">
        <v>33962.383065769267</v>
      </c>
      <c r="F93">
        <v>11</v>
      </c>
      <c r="G93" t="s">
        <v>194</v>
      </c>
      <c r="H93" t="s">
        <v>194</v>
      </c>
      <c r="I93" t="s">
        <v>194</v>
      </c>
      <c r="J93" t="s">
        <v>194</v>
      </c>
    </row>
    <row r="94" spans="2:10" x14ac:dyDescent="0.3">
      <c r="B94">
        <v>77</v>
      </c>
      <c r="C94" s="55">
        <v>21568.427537429314</v>
      </c>
      <c r="D94">
        <v>12</v>
      </c>
      <c r="E94" s="55">
        <v>31278.148966112018</v>
      </c>
      <c r="F94">
        <v>11</v>
      </c>
      <c r="G94" t="s">
        <v>194</v>
      </c>
      <c r="H94" t="s">
        <v>194</v>
      </c>
      <c r="I94" t="s">
        <v>194</v>
      </c>
      <c r="J94" t="s">
        <v>194</v>
      </c>
    </row>
    <row r="95" spans="2:10" x14ac:dyDescent="0.3">
      <c r="B95">
        <v>78</v>
      </c>
      <c r="C95" s="55">
        <v>33923.025150150941</v>
      </c>
      <c r="D95">
        <v>12</v>
      </c>
      <c r="E95" s="55">
        <v>41257.40187698802</v>
      </c>
      <c r="F95">
        <v>11</v>
      </c>
      <c r="G95" t="s">
        <v>194</v>
      </c>
      <c r="H95" t="s">
        <v>194</v>
      </c>
      <c r="I95" t="s">
        <v>194</v>
      </c>
      <c r="J95" t="s">
        <v>194</v>
      </c>
    </row>
    <row r="96" spans="2:10" x14ac:dyDescent="0.3">
      <c r="B96">
        <v>79</v>
      </c>
      <c r="C96" s="55">
        <v>21064.207176220116</v>
      </c>
      <c r="D96">
        <v>12</v>
      </c>
      <c r="E96" s="55">
        <v>32636.561784636393</v>
      </c>
      <c r="F96">
        <v>11</v>
      </c>
      <c r="G96" t="s">
        <v>194</v>
      </c>
      <c r="H96" t="s">
        <v>194</v>
      </c>
      <c r="I96" t="s">
        <v>194</v>
      </c>
      <c r="J96" t="s">
        <v>194</v>
      </c>
    </row>
    <row r="97" spans="2:10" x14ac:dyDescent="0.3">
      <c r="B97">
        <v>80</v>
      </c>
      <c r="C97" s="55">
        <v>26129.595801825322</v>
      </c>
      <c r="D97">
        <v>12</v>
      </c>
      <c r="E97" s="55">
        <v>28639.197477017598</v>
      </c>
      <c r="F97">
        <v>11</v>
      </c>
      <c r="G97" t="s">
        <v>194</v>
      </c>
      <c r="H97" t="s">
        <v>194</v>
      </c>
      <c r="I97" t="s">
        <v>194</v>
      </c>
      <c r="J97" t="s">
        <v>194</v>
      </c>
    </row>
    <row r="98" spans="2:10" x14ac:dyDescent="0.3">
      <c r="B98">
        <v>81</v>
      </c>
      <c r="C98" s="55">
        <v>31771.827572987902</v>
      </c>
      <c r="D98">
        <v>12</v>
      </c>
      <c r="E98" s="55">
        <v>30105.989803066746</v>
      </c>
      <c r="F98">
        <v>11</v>
      </c>
      <c r="G98" t="s">
        <v>194</v>
      </c>
      <c r="H98" t="s">
        <v>194</v>
      </c>
      <c r="I98" t="s">
        <v>194</v>
      </c>
      <c r="J98" t="s">
        <v>194</v>
      </c>
    </row>
    <row r="99" spans="2:10" x14ac:dyDescent="0.3">
      <c r="B99">
        <v>82</v>
      </c>
      <c r="C99" s="55">
        <v>30243.570622328363</v>
      </c>
      <c r="D99">
        <v>12</v>
      </c>
      <c r="E99" s="55">
        <v>34521.119758680259</v>
      </c>
      <c r="F99">
        <v>11</v>
      </c>
      <c r="G99" t="s">
        <v>194</v>
      </c>
      <c r="H99" t="s">
        <v>194</v>
      </c>
      <c r="I99" t="s">
        <v>194</v>
      </c>
      <c r="J99" t="s">
        <v>194</v>
      </c>
    </row>
    <row r="100" spans="2:10" x14ac:dyDescent="0.3">
      <c r="B100">
        <v>83</v>
      </c>
      <c r="C100" s="55">
        <v>27492.594982275048</v>
      </c>
      <c r="D100">
        <v>12</v>
      </c>
      <c r="E100" s="55">
        <v>24843.842427494132</v>
      </c>
      <c r="F100">
        <v>11</v>
      </c>
      <c r="G100" t="s">
        <v>194</v>
      </c>
      <c r="H100" t="s">
        <v>194</v>
      </c>
      <c r="I100" t="s">
        <v>194</v>
      </c>
      <c r="J100" t="s">
        <v>194</v>
      </c>
    </row>
    <row r="101" spans="2:10" x14ac:dyDescent="0.3">
      <c r="B101">
        <v>84</v>
      </c>
      <c r="C101" s="55">
        <v>28903.874733199096</v>
      </c>
      <c r="D101">
        <v>12</v>
      </c>
      <c r="E101" s="55">
        <v>24923.425099252403</v>
      </c>
      <c r="F101">
        <v>11</v>
      </c>
      <c r="G101" t="s">
        <v>194</v>
      </c>
      <c r="H101" t="s">
        <v>194</v>
      </c>
      <c r="I101" t="s">
        <v>194</v>
      </c>
      <c r="J101" t="s">
        <v>194</v>
      </c>
    </row>
    <row r="102" spans="2:10" x14ac:dyDescent="0.3">
      <c r="B102">
        <v>85</v>
      </c>
      <c r="C102" s="55">
        <v>33751.691299870683</v>
      </c>
      <c r="D102">
        <v>12</v>
      </c>
      <c r="E102" s="55">
        <v>31001.910981703706</v>
      </c>
      <c r="F102">
        <v>11</v>
      </c>
      <c r="G102" t="s">
        <v>194</v>
      </c>
      <c r="H102" t="s">
        <v>194</v>
      </c>
      <c r="I102" t="s">
        <v>194</v>
      </c>
      <c r="J102" t="s">
        <v>194</v>
      </c>
    </row>
    <row r="103" spans="2:10" x14ac:dyDescent="0.3">
      <c r="B103">
        <v>86</v>
      </c>
      <c r="C103" s="55">
        <v>24876.208217212097</v>
      </c>
      <c r="D103">
        <v>12</v>
      </c>
      <c r="E103" s="55">
        <v>28223.294188687061</v>
      </c>
      <c r="F103">
        <v>11</v>
      </c>
      <c r="G103" t="s">
        <v>194</v>
      </c>
      <c r="H103" t="s">
        <v>194</v>
      </c>
      <c r="I103" t="s">
        <v>194</v>
      </c>
      <c r="J103" t="s">
        <v>194</v>
      </c>
    </row>
    <row r="104" spans="2:10" x14ac:dyDescent="0.3">
      <c r="B104">
        <v>87</v>
      </c>
      <c r="C104" s="55">
        <v>26478.578108578986</v>
      </c>
      <c r="D104">
        <v>12</v>
      </c>
      <c r="E104" s="55">
        <v>28102.2926915608</v>
      </c>
      <c r="F104">
        <v>11</v>
      </c>
      <c r="G104" t="s">
        <v>194</v>
      </c>
      <c r="H104" t="s">
        <v>194</v>
      </c>
      <c r="I104" t="s">
        <v>194</v>
      </c>
      <c r="J104" t="s">
        <v>194</v>
      </c>
    </row>
    <row r="105" spans="2:10" x14ac:dyDescent="0.3">
      <c r="B105">
        <v>88</v>
      </c>
      <c r="C105" s="55">
        <v>26084.496942046873</v>
      </c>
      <c r="D105">
        <v>12</v>
      </c>
      <c r="E105" s="55">
        <v>17579.841971475504</v>
      </c>
      <c r="F105">
        <v>6</v>
      </c>
      <c r="G105" t="s">
        <v>194</v>
      </c>
      <c r="H105" t="s">
        <v>194</v>
      </c>
      <c r="I105" t="s">
        <v>194</v>
      </c>
      <c r="J105" t="s">
        <v>194</v>
      </c>
    </row>
    <row r="106" spans="2:10" x14ac:dyDescent="0.3">
      <c r="B106">
        <v>89</v>
      </c>
      <c r="C106" s="55">
        <v>28564.118098003775</v>
      </c>
      <c r="D106">
        <v>12</v>
      </c>
      <c r="E106" s="55">
        <v>14929.866294238189</v>
      </c>
      <c r="F106">
        <v>6</v>
      </c>
      <c r="G106" t="s">
        <v>194</v>
      </c>
      <c r="H106" t="s">
        <v>194</v>
      </c>
      <c r="I106" t="s">
        <v>194</v>
      </c>
      <c r="J106" t="s">
        <v>194</v>
      </c>
    </row>
    <row r="107" spans="2:10" x14ac:dyDescent="0.3">
      <c r="B107">
        <v>90</v>
      </c>
      <c r="C107" s="55">
        <v>29467.527189526121</v>
      </c>
      <c r="D107">
        <v>12</v>
      </c>
      <c r="E107" s="55">
        <v>13860.954746614967</v>
      </c>
      <c r="F107">
        <v>6</v>
      </c>
      <c r="G107" t="s">
        <v>194</v>
      </c>
      <c r="H107" t="s">
        <v>194</v>
      </c>
      <c r="I107" t="s">
        <v>194</v>
      </c>
      <c r="J107" t="s">
        <v>194</v>
      </c>
    </row>
    <row r="108" spans="2:10" x14ac:dyDescent="0.3">
      <c r="B108">
        <v>91</v>
      </c>
      <c r="C108" s="55">
        <v>37671.682402582206</v>
      </c>
      <c r="D108">
        <v>12</v>
      </c>
      <c r="E108" s="55">
        <v>17674.003516530011</v>
      </c>
      <c r="F108">
        <v>6</v>
      </c>
      <c r="G108" t="s">
        <v>194</v>
      </c>
      <c r="H108" t="s">
        <v>194</v>
      </c>
      <c r="I108" t="s">
        <v>194</v>
      </c>
      <c r="J108" t="s">
        <v>194</v>
      </c>
    </row>
    <row r="109" spans="2:10" x14ac:dyDescent="0.3">
      <c r="B109">
        <v>92</v>
      </c>
      <c r="C109" s="55">
        <v>29535.499734293451</v>
      </c>
      <c r="D109">
        <v>12</v>
      </c>
      <c r="E109" s="55">
        <v>11810.590380077989</v>
      </c>
      <c r="F109">
        <v>8</v>
      </c>
      <c r="G109" t="s">
        <v>194</v>
      </c>
      <c r="H109" t="s">
        <v>194</v>
      </c>
      <c r="I109" t="s">
        <v>194</v>
      </c>
      <c r="J109" t="s">
        <v>194</v>
      </c>
    </row>
    <row r="110" spans="2:10" x14ac:dyDescent="0.3">
      <c r="B110">
        <v>93</v>
      </c>
      <c r="C110" s="55">
        <v>31596.980761311352</v>
      </c>
      <c r="D110">
        <v>12</v>
      </c>
      <c r="E110" s="55">
        <v>13618.930773880771</v>
      </c>
      <c r="F110">
        <v>8</v>
      </c>
      <c r="G110" t="s">
        <v>194</v>
      </c>
      <c r="H110" t="s">
        <v>194</v>
      </c>
      <c r="I110" t="s">
        <v>194</v>
      </c>
      <c r="J110" t="s">
        <v>194</v>
      </c>
    </row>
    <row r="111" spans="2:10" x14ac:dyDescent="0.3">
      <c r="B111">
        <v>94</v>
      </c>
      <c r="C111" s="55">
        <v>29058.600599226076</v>
      </c>
      <c r="D111">
        <v>12</v>
      </c>
      <c r="E111" s="55">
        <v>18439.671416686666</v>
      </c>
      <c r="F111">
        <v>8</v>
      </c>
      <c r="G111" t="s">
        <v>194</v>
      </c>
      <c r="H111" t="s">
        <v>194</v>
      </c>
      <c r="I111" t="s">
        <v>194</v>
      </c>
      <c r="J111" t="s">
        <v>194</v>
      </c>
    </row>
    <row r="112" spans="2:10" x14ac:dyDescent="0.3">
      <c r="B112">
        <v>95</v>
      </c>
      <c r="C112" s="55">
        <v>25449.282716364105</v>
      </c>
      <c r="D112">
        <v>12</v>
      </c>
      <c r="E112" s="55">
        <v>23348.951354561068</v>
      </c>
      <c r="F112">
        <v>8</v>
      </c>
      <c r="G112" t="s">
        <v>194</v>
      </c>
      <c r="H112" t="s">
        <v>194</v>
      </c>
      <c r="I112" t="s">
        <v>194</v>
      </c>
      <c r="J112" t="s">
        <v>194</v>
      </c>
    </row>
    <row r="113" spans="2:10" x14ac:dyDescent="0.3">
      <c r="B113">
        <v>96</v>
      </c>
      <c r="C113" s="55">
        <v>20640.309230026076</v>
      </c>
      <c r="D113">
        <v>12</v>
      </c>
      <c r="E113" s="55">
        <v>20823.224358483098</v>
      </c>
      <c r="F113">
        <v>8</v>
      </c>
      <c r="G113" t="s">
        <v>194</v>
      </c>
      <c r="H113" t="s">
        <v>194</v>
      </c>
      <c r="I113" t="s">
        <v>194</v>
      </c>
      <c r="J113" t="s">
        <v>194</v>
      </c>
    </row>
    <row r="114" spans="2:10" x14ac:dyDescent="0.3">
      <c r="B114">
        <v>97</v>
      </c>
      <c r="C114" s="55">
        <v>30359.749719654177</v>
      </c>
      <c r="D114">
        <v>12</v>
      </c>
      <c r="E114" s="55">
        <v>22178.098807910661</v>
      </c>
      <c r="F114">
        <v>8</v>
      </c>
      <c r="G114" t="s">
        <v>194</v>
      </c>
      <c r="H114" t="s">
        <v>194</v>
      </c>
      <c r="I114" t="s">
        <v>194</v>
      </c>
      <c r="J114" t="s">
        <v>194</v>
      </c>
    </row>
    <row r="115" spans="2:10" x14ac:dyDescent="0.3">
      <c r="B115">
        <v>98</v>
      </c>
      <c r="C115" s="55">
        <v>32705.270561483529</v>
      </c>
      <c r="D115">
        <v>12</v>
      </c>
      <c r="E115" s="55">
        <v>20971.564307207907</v>
      </c>
      <c r="F115">
        <v>9</v>
      </c>
      <c r="G115" t="s">
        <v>194</v>
      </c>
      <c r="H115" t="s">
        <v>194</v>
      </c>
      <c r="I115" t="s">
        <v>194</v>
      </c>
      <c r="J115" t="s">
        <v>194</v>
      </c>
    </row>
    <row r="116" spans="2:10" x14ac:dyDescent="0.3">
      <c r="B116">
        <v>99</v>
      </c>
      <c r="C116" s="55">
        <v>39265.491980995903</v>
      </c>
      <c r="D116">
        <v>12</v>
      </c>
      <c r="E116" s="55">
        <v>28463.412736237857</v>
      </c>
      <c r="F116">
        <v>9</v>
      </c>
      <c r="G116" t="s">
        <v>194</v>
      </c>
      <c r="H116" t="s">
        <v>194</v>
      </c>
      <c r="I116" t="s">
        <v>194</v>
      </c>
      <c r="J116" t="s">
        <v>194</v>
      </c>
    </row>
    <row r="117" spans="2:10" x14ac:dyDescent="0.3">
      <c r="B117">
        <v>100</v>
      </c>
      <c r="C117" s="55">
        <v>26089.082064231759</v>
      </c>
      <c r="D117">
        <v>12</v>
      </c>
      <c r="E117" s="55">
        <v>29673.022750700991</v>
      </c>
      <c r="F117">
        <v>9</v>
      </c>
      <c r="G117" t="s">
        <v>194</v>
      </c>
      <c r="H117" t="s">
        <v>194</v>
      </c>
      <c r="I117" t="s">
        <v>194</v>
      </c>
      <c r="J117" t="s">
        <v>194</v>
      </c>
    </row>
    <row r="118" spans="2:10" x14ac:dyDescent="0.3">
      <c r="B118">
        <v>101</v>
      </c>
      <c r="C118" s="55">
        <v>27274.542809751656</v>
      </c>
      <c r="D118">
        <v>10</v>
      </c>
      <c r="E118" s="55">
        <v>19077.800549040134</v>
      </c>
      <c r="F118">
        <v>9</v>
      </c>
      <c r="G118" t="s">
        <v>194</v>
      </c>
      <c r="H118" t="s">
        <v>194</v>
      </c>
      <c r="I118" t="s">
        <v>194</v>
      </c>
      <c r="J118" t="s">
        <v>194</v>
      </c>
    </row>
    <row r="119" spans="2:10" x14ac:dyDescent="0.3">
      <c r="B119">
        <v>102</v>
      </c>
      <c r="C119" s="55">
        <v>21260.755514334993</v>
      </c>
      <c r="D119">
        <v>10</v>
      </c>
      <c r="E119" s="55">
        <v>21706.772325329293</v>
      </c>
      <c r="F119">
        <v>9</v>
      </c>
      <c r="G119" t="s">
        <v>194</v>
      </c>
      <c r="H119" t="s">
        <v>194</v>
      </c>
      <c r="I119" t="s">
        <v>194</v>
      </c>
      <c r="J119" t="s">
        <v>194</v>
      </c>
    </row>
    <row r="120" spans="2:10" x14ac:dyDescent="0.3">
      <c r="B120">
        <v>103</v>
      </c>
      <c r="C120" s="55">
        <v>25432.25386342546</v>
      </c>
      <c r="D120">
        <v>10</v>
      </c>
      <c r="E120" s="55">
        <v>27798.080999487884</v>
      </c>
      <c r="F120">
        <v>9</v>
      </c>
      <c r="G120" t="s">
        <v>194</v>
      </c>
      <c r="H120" t="s">
        <v>194</v>
      </c>
      <c r="I120" t="s">
        <v>194</v>
      </c>
      <c r="J120" t="s">
        <v>194</v>
      </c>
    </row>
    <row r="121" spans="2:10" x14ac:dyDescent="0.3">
      <c r="B121">
        <v>104</v>
      </c>
      <c r="C121" s="55">
        <v>21022.531765072035</v>
      </c>
      <c r="D121">
        <v>10</v>
      </c>
      <c r="E121" s="55">
        <v>25952.1761748752</v>
      </c>
      <c r="F121">
        <v>12</v>
      </c>
      <c r="G121" t="s">
        <v>194</v>
      </c>
      <c r="H121" t="s">
        <v>194</v>
      </c>
      <c r="I121" t="s">
        <v>194</v>
      </c>
      <c r="J121" t="s">
        <v>194</v>
      </c>
    </row>
    <row r="122" spans="2:10" x14ac:dyDescent="0.3">
      <c r="B122">
        <v>105</v>
      </c>
      <c r="C122" s="55">
        <v>33765.399549923153</v>
      </c>
      <c r="D122">
        <v>10</v>
      </c>
      <c r="E122" s="55">
        <v>29529.052723462275</v>
      </c>
      <c r="F122">
        <v>12</v>
      </c>
      <c r="G122" t="s">
        <v>194</v>
      </c>
      <c r="H122" t="s">
        <v>194</v>
      </c>
      <c r="I122" t="s">
        <v>194</v>
      </c>
      <c r="J122" t="s">
        <v>194</v>
      </c>
    </row>
    <row r="123" spans="2:10" x14ac:dyDescent="0.3">
      <c r="B123">
        <v>106</v>
      </c>
      <c r="C123" s="55">
        <v>20832.724564548073</v>
      </c>
      <c r="D123">
        <v>10</v>
      </c>
      <c r="E123" s="55">
        <v>24775.721835790016</v>
      </c>
      <c r="F123">
        <v>12</v>
      </c>
      <c r="G123" t="s">
        <v>194</v>
      </c>
      <c r="H123" t="s">
        <v>194</v>
      </c>
      <c r="I123" t="s">
        <v>194</v>
      </c>
      <c r="J123" t="s">
        <v>194</v>
      </c>
    </row>
    <row r="124" spans="2:10" x14ac:dyDescent="0.3">
      <c r="B124">
        <v>107</v>
      </c>
      <c r="C124" s="55">
        <v>34412.128833581104</v>
      </c>
      <c r="D124">
        <v>10</v>
      </c>
      <c r="E124" s="55">
        <v>37740.477837574472</v>
      </c>
      <c r="F124">
        <v>12</v>
      </c>
      <c r="G124" t="s">
        <v>194</v>
      </c>
      <c r="H124" t="s">
        <v>194</v>
      </c>
      <c r="I124" t="s">
        <v>194</v>
      </c>
      <c r="J124" t="s">
        <v>194</v>
      </c>
    </row>
    <row r="125" spans="2:10" x14ac:dyDescent="0.3">
      <c r="B125">
        <v>108</v>
      </c>
      <c r="C125" s="55">
        <v>18075.394354279138</v>
      </c>
      <c r="D125">
        <v>10</v>
      </c>
      <c r="E125" s="55">
        <v>36732.150710249742</v>
      </c>
      <c r="F125">
        <v>12</v>
      </c>
      <c r="G125" t="s">
        <v>194</v>
      </c>
      <c r="H125" t="s">
        <v>194</v>
      </c>
      <c r="I125" t="s">
        <v>194</v>
      </c>
      <c r="J125" t="s">
        <v>194</v>
      </c>
    </row>
    <row r="126" spans="2:10" x14ac:dyDescent="0.3">
      <c r="B126">
        <v>109</v>
      </c>
      <c r="C126" s="55">
        <v>26736.877544857482</v>
      </c>
      <c r="D126">
        <v>10</v>
      </c>
      <c r="E126" s="55">
        <v>27891.103571525891</v>
      </c>
      <c r="F126">
        <v>12</v>
      </c>
      <c r="G126" t="s">
        <v>194</v>
      </c>
      <c r="H126" t="s">
        <v>194</v>
      </c>
      <c r="I126" t="s">
        <v>194</v>
      </c>
      <c r="J126" t="s">
        <v>194</v>
      </c>
    </row>
    <row r="127" spans="2:10" x14ac:dyDescent="0.3">
      <c r="B127">
        <v>110</v>
      </c>
      <c r="C127" s="55">
        <v>23079.672204628521</v>
      </c>
      <c r="D127">
        <v>10</v>
      </c>
      <c r="E127" s="55">
        <v>31223.460480550923</v>
      </c>
      <c r="F127">
        <v>12</v>
      </c>
      <c r="G127" t="s">
        <v>194</v>
      </c>
      <c r="H127" t="s">
        <v>194</v>
      </c>
      <c r="I127" t="s">
        <v>194</v>
      </c>
      <c r="J127" t="s">
        <v>194</v>
      </c>
    </row>
    <row r="128" spans="2:10" x14ac:dyDescent="0.3">
      <c r="B128">
        <v>111</v>
      </c>
      <c r="C128" s="55">
        <v>23695.858392082475</v>
      </c>
      <c r="D128">
        <v>10</v>
      </c>
      <c r="E128" s="55">
        <v>36736.924960215511</v>
      </c>
      <c r="F128">
        <v>12</v>
      </c>
      <c r="G128" t="s">
        <v>194</v>
      </c>
      <c r="H128" t="s">
        <v>194</v>
      </c>
      <c r="I128" t="s">
        <v>194</v>
      </c>
      <c r="J128" t="s">
        <v>194</v>
      </c>
    </row>
    <row r="129" spans="2:10" x14ac:dyDescent="0.3">
      <c r="B129">
        <v>112</v>
      </c>
      <c r="C129" s="55">
        <v>31424.971846617249</v>
      </c>
      <c r="D129">
        <v>10</v>
      </c>
      <c r="E129" s="55">
        <v>28492.570683992115</v>
      </c>
      <c r="F129">
        <v>12</v>
      </c>
      <c r="G129" t="s">
        <v>194</v>
      </c>
      <c r="H129" t="s">
        <v>194</v>
      </c>
      <c r="I129" t="s">
        <v>194</v>
      </c>
      <c r="J129" t="s">
        <v>194</v>
      </c>
    </row>
    <row r="130" spans="2:10" x14ac:dyDescent="0.3">
      <c r="B130">
        <v>113</v>
      </c>
      <c r="C130" s="55">
        <v>15037.013371943749</v>
      </c>
      <c r="D130">
        <v>10</v>
      </c>
      <c r="E130" s="55">
        <v>35669.30282240353</v>
      </c>
      <c r="F130">
        <v>12</v>
      </c>
      <c r="G130" t="s">
        <v>194</v>
      </c>
      <c r="H130" t="s">
        <v>194</v>
      </c>
      <c r="I130" t="s">
        <v>194</v>
      </c>
      <c r="J130" t="s">
        <v>194</v>
      </c>
    </row>
    <row r="131" spans="2:10" x14ac:dyDescent="0.3">
      <c r="B131">
        <v>114</v>
      </c>
      <c r="C131" s="55">
        <v>23796.542340081942</v>
      </c>
      <c r="D131">
        <v>10</v>
      </c>
      <c r="E131" s="55">
        <v>26920.366752175778</v>
      </c>
      <c r="F131">
        <v>12</v>
      </c>
      <c r="G131" t="s">
        <v>194</v>
      </c>
      <c r="H131" t="s">
        <v>194</v>
      </c>
      <c r="I131" t="s">
        <v>194</v>
      </c>
      <c r="J131" t="s">
        <v>194</v>
      </c>
    </row>
    <row r="132" spans="2:10" x14ac:dyDescent="0.3">
      <c r="B132">
        <v>115</v>
      </c>
      <c r="C132" s="55">
        <v>19375.632581634316</v>
      </c>
      <c r="D132">
        <v>10</v>
      </c>
      <c r="E132" s="55">
        <v>29525.784129864835</v>
      </c>
      <c r="F132">
        <v>12</v>
      </c>
      <c r="G132" t="s">
        <v>194</v>
      </c>
      <c r="H132" t="s">
        <v>194</v>
      </c>
      <c r="I132" t="s">
        <v>194</v>
      </c>
      <c r="J132" t="s">
        <v>194</v>
      </c>
    </row>
    <row r="133" spans="2:10" x14ac:dyDescent="0.3">
      <c r="B133">
        <v>116</v>
      </c>
      <c r="C133" s="55">
        <v>22312.999630795075</v>
      </c>
      <c r="D133">
        <v>10</v>
      </c>
      <c r="E133" s="55">
        <v>28035.196060141254</v>
      </c>
      <c r="F133">
        <v>12</v>
      </c>
      <c r="G133" t="s">
        <v>194</v>
      </c>
      <c r="H133" t="s">
        <v>194</v>
      </c>
      <c r="I133" t="s">
        <v>194</v>
      </c>
      <c r="J133" t="s">
        <v>194</v>
      </c>
    </row>
    <row r="134" spans="2:10" x14ac:dyDescent="0.3">
      <c r="B134">
        <v>117</v>
      </c>
      <c r="C134" s="55">
        <v>27404.633676788693</v>
      </c>
      <c r="D134">
        <v>10</v>
      </c>
      <c r="E134" s="55">
        <v>45324.901143817333</v>
      </c>
      <c r="F134">
        <v>12</v>
      </c>
      <c r="G134" t="s">
        <v>194</v>
      </c>
      <c r="H134" t="s">
        <v>194</v>
      </c>
      <c r="I134" t="s">
        <v>194</v>
      </c>
      <c r="J134" t="s">
        <v>194</v>
      </c>
    </row>
    <row r="135" spans="2:10" x14ac:dyDescent="0.3">
      <c r="B135">
        <v>118</v>
      </c>
      <c r="C135" s="55">
        <v>16282.283662862301</v>
      </c>
      <c r="D135">
        <v>10</v>
      </c>
      <c r="E135" s="55">
        <v>22518.898394021362</v>
      </c>
      <c r="F135">
        <v>12</v>
      </c>
      <c r="G135" t="s">
        <v>194</v>
      </c>
      <c r="H135" t="s">
        <v>194</v>
      </c>
      <c r="I135" t="s">
        <v>194</v>
      </c>
      <c r="J135" t="s">
        <v>194</v>
      </c>
    </row>
    <row r="136" spans="2:10" x14ac:dyDescent="0.3">
      <c r="B136">
        <v>119</v>
      </c>
      <c r="C136" s="55">
        <v>20257.206047623044</v>
      </c>
      <c r="D136">
        <v>10</v>
      </c>
      <c r="E136" s="55">
        <v>35100.748866276001</v>
      </c>
      <c r="F136">
        <v>12</v>
      </c>
      <c r="G136" t="s">
        <v>194</v>
      </c>
      <c r="H136" t="s">
        <v>194</v>
      </c>
      <c r="I136" t="s">
        <v>194</v>
      </c>
      <c r="J136" t="s">
        <v>194</v>
      </c>
    </row>
    <row r="137" spans="2:10" x14ac:dyDescent="0.3">
      <c r="B137">
        <v>120</v>
      </c>
      <c r="C137" s="55">
        <v>22599.166121352784</v>
      </c>
      <c r="D137">
        <v>10</v>
      </c>
      <c r="E137" s="55">
        <v>30804.782848576713</v>
      </c>
      <c r="F137">
        <v>12</v>
      </c>
      <c r="G137" t="s">
        <v>194</v>
      </c>
      <c r="H137" t="s">
        <v>194</v>
      </c>
      <c r="I137" t="s">
        <v>194</v>
      </c>
      <c r="J137" t="s">
        <v>194</v>
      </c>
    </row>
    <row r="138" spans="2:10" x14ac:dyDescent="0.3">
      <c r="B138">
        <v>121</v>
      </c>
      <c r="C138" s="55">
        <v>19132.501412322599</v>
      </c>
      <c r="D138">
        <v>8</v>
      </c>
      <c r="E138" s="55">
        <v>34307.004780546711</v>
      </c>
      <c r="F138">
        <v>12</v>
      </c>
      <c r="G138" t="s">
        <v>194</v>
      </c>
      <c r="H138" t="s">
        <v>194</v>
      </c>
      <c r="I138" t="s">
        <v>194</v>
      </c>
      <c r="J138" t="s">
        <v>194</v>
      </c>
    </row>
    <row r="139" spans="2:10" x14ac:dyDescent="0.3">
      <c r="B139">
        <v>122</v>
      </c>
      <c r="C139" s="55">
        <v>13569.016488882731</v>
      </c>
      <c r="D139">
        <v>8</v>
      </c>
      <c r="E139" s="55">
        <v>19055.3788477118</v>
      </c>
      <c r="F139">
        <v>8</v>
      </c>
      <c r="G139" t="s">
        <v>194</v>
      </c>
      <c r="H139" t="s">
        <v>194</v>
      </c>
      <c r="I139" t="s">
        <v>194</v>
      </c>
      <c r="J139" t="s">
        <v>194</v>
      </c>
    </row>
    <row r="140" spans="2:10" x14ac:dyDescent="0.3">
      <c r="B140">
        <v>123</v>
      </c>
      <c r="C140" s="55">
        <v>27290.58129082973</v>
      </c>
      <c r="D140">
        <v>8</v>
      </c>
      <c r="E140" s="55">
        <v>19912.862516346257</v>
      </c>
      <c r="F140">
        <v>6</v>
      </c>
      <c r="G140" t="s">
        <v>194</v>
      </c>
      <c r="H140" t="s">
        <v>194</v>
      </c>
      <c r="I140" t="s">
        <v>194</v>
      </c>
      <c r="J140" t="s">
        <v>194</v>
      </c>
    </row>
    <row r="141" spans="2:10" x14ac:dyDescent="0.3">
      <c r="B141">
        <v>124</v>
      </c>
      <c r="C141" s="55">
        <v>20770.467816630895</v>
      </c>
      <c r="D141">
        <v>8</v>
      </c>
      <c r="E141" s="55">
        <v>31011.495673614008</v>
      </c>
      <c r="F141">
        <v>9</v>
      </c>
      <c r="G141" t="s">
        <v>194</v>
      </c>
      <c r="H141" t="s">
        <v>194</v>
      </c>
      <c r="I141" t="s">
        <v>194</v>
      </c>
      <c r="J141" t="s">
        <v>194</v>
      </c>
    </row>
    <row r="142" spans="2:10" x14ac:dyDescent="0.3">
      <c r="B142">
        <v>125</v>
      </c>
      <c r="C142" s="55">
        <v>17394.877064600558</v>
      </c>
      <c r="D142">
        <v>8</v>
      </c>
      <c r="E142" s="55">
        <v>35027.212117558767</v>
      </c>
      <c r="F142">
        <v>11</v>
      </c>
      <c r="G142" t="s">
        <v>194</v>
      </c>
      <c r="H142" t="s">
        <v>194</v>
      </c>
      <c r="I142" t="s">
        <v>194</v>
      </c>
      <c r="J142" t="s">
        <v>194</v>
      </c>
    </row>
    <row r="143" spans="2:10" x14ac:dyDescent="0.3">
      <c r="B143">
        <v>126</v>
      </c>
      <c r="C143" s="55">
        <v>26300.401043926602</v>
      </c>
      <c r="D143">
        <v>8</v>
      </c>
      <c r="E143" s="55">
        <v>26040.265579274779</v>
      </c>
      <c r="F143">
        <v>11</v>
      </c>
      <c r="G143" t="s">
        <v>194</v>
      </c>
      <c r="H143" t="s">
        <v>194</v>
      </c>
      <c r="I143" t="s">
        <v>194</v>
      </c>
      <c r="J143" t="s">
        <v>194</v>
      </c>
    </row>
    <row r="144" spans="2:10" x14ac:dyDescent="0.3">
      <c r="B144">
        <v>127</v>
      </c>
      <c r="C144" s="55">
        <v>21736.052001637632</v>
      </c>
      <c r="D144">
        <v>8</v>
      </c>
      <c r="E144" s="55">
        <v>30890.303810245627</v>
      </c>
      <c r="F144">
        <v>12</v>
      </c>
      <c r="G144" t="s">
        <v>194</v>
      </c>
      <c r="H144" t="s">
        <v>194</v>
      </c>
      <c r="I144" t="s">
        <v>194</v>
      </c>
      <c r="J144" t="s">
        <v>194</v>
      </c>
    </row>
    <row r="145" spans="2:10" x14ac:dyDescent="0.3">
      <c r="B145">
        <v>128</v>
      </c>
      <c r="C145" s="55">
        <v>19849.946366563752</v>
      </c>
      <c r="D145">
        <v>8</v>
      </c>
      <c r="E145" s="55">
        <v>30753.421564613775</v>
      </c>
      <c r="F145">
        <v>12</v>
      </c>
      <c r="G145" t="s">
        <v>194</v>
      </c>
      <c r="H145" t="s">
        <v>194</v>
      </c>
      <c r="I145" t="s">
        <v>194</v>
      </c>
      <c r="J145" t="s">
        <v>194</v>
      </c>
    </row>
    <row r="146" spans="2:10" x14ac:dyDescent="0.3">
      <c r="B146">
        <v>129</v>
      </c>
      <c r="C146" s="55">
        <v>14256.590629920982</v>
      </c>
      <c r="D146">
        <v>8</v>
      </c>
      <c r="E146" s="55">
        <v>35301.326338748848</v>
      </c>
      <c r="F146">
        <v>12</v>
      </c>
      <c r="G146" t="s">
        <v>194</v>
      </c>
      <c r="H146" t="s">
        <v>194</v>
      </c>
      <c r="I146" t="s">
        <v>194</v>
      </c>
      <c r="J146" t="s">
        <v>194</v>
      </c>
    </row>
    <row r="147" spans="2:10" x14ac:dyDescent="0.3">
      <c r="B147">
        <v>130</v>
      </c>
      <c r="C147" s="55">
        <v>21263.683886228544</v>
      </c>
      <c r="D147">
        <v>8</v>
      </c>
      <c r="E147" s="55">
        <v>32174.7440292024</v>
      </c>
      <c r="F147">
        <v>12</v>
      </c>
      <c r="G147" t="s">
        <v>194</v>
      </c>
      <c r="H147" t="s">
        <v>194</v>
      </c>
      <c r="I147" t="s">
        <v>194</v>
      </c>
      <c r="J147" t="s">
        <v>194</v>
      </c>
    </row>
    <row r="148" spans="2:10" x14ac:dyDescent="0.3">
      <c r="B148">
        <v>131</v>
      </c>
      <c r="C148" s="55">
        <v>23001.711899956106</v>
      </c>
      <c r="D148">
        <v>9</v>
      </c>
      <c r="E148" s="55">
        <v>22652.667356251382</v>
      </c>
      <c r="F148">
        <v>6</v>
      </c>
      <c r="G148" t="s">
        <v>194</v>
      </c>
      <c r="H148" t="s">
        <v>194</v>
      </c>
      <c r="I148" t="s">
        <v>194</v>
      </c>
      <c r="J148" t="s">
        <v>194</v>
      </c>
    </row>
    <row r="149" spans="2:10" x14ac:dyDescent="0.3">
      <c r="B149">
        <v>132</v>
      </c>
      <c r="C149" s="55">
        <v>13716.208756733658</v>
      </c>
      <c r="D149">
        <v>9</v>
      </c>
      <c r="E149" s="55">
        <v>16481.077008544809</v>
      </c>
      <c r="F149">
        <v>6</v>
      </c>
      <c r="G149" t="s">
        <v>194</v>
      </c>
      <c r="H149" t="s">
        <v>194</v>
      </c>
      <c r="I149" t="s">
        <v>194</v>
      </c>
      <c r="J149" t="s">
        <v>194</v>
      </c>
    </row>
    <row r="150" spans="2:10" x14ac:dyDescent="0.3">
      <c r="B150">
        <v>133</v>
      </c>
      <c r="C150" s="55">
        <v>24015.95622570159</v>
      </c>
      <c r="D150">
        <v>9</v>
      </c>
      <c r="E150" s="55">
        <v>10220.789240354725</v>
      </c>
      <c r="F150">
        <v>9</v>
      </c>
      <c r="G150" t="s">
        <v>194</v>
      </c>
      <c r="H150" t="s">
        <v>194</v>
      </c>
      <c r="I150" t="s">
        <v>194</v>
      </c>
      <c r="J150" t="s">
        <v>194</v>
      </c>
    </row>
    <row r="151" spans="2:10" x14ac:dyDescent="0.3">
      <c r="B151">
        <v>134</v>
      </c>
      <c r="C151" s="55">
        <v>15473.615354152014</v>
      </c>
      <c r="D151">
        <v>9</v>
      </c>
      <c r="E151" s="55">
        <v>20889.219320698299</v>
      </c>
      <c r="F151">
        <v>9</v>
      </c>
      <c r="G151" t="s">
        <v>194</v>
      </c>
      <c r="H151" t="s">
        <v>194</v>
      </c>
      <c r="I151" t="s">
        <v>194</v>
      </c>
      <c r="J151" t="s">
        <v>194</v>
      </c>
    </row>
    <row r="152" spans="2:10" x14ac:dyDescent="0.3">
      <c r="B152">
        <v>135</v>
      </c>
      <c r="C152" s="55">
        <v>20202.667579977337</v>
      </c>
      <c r="D152">
        <v>9</v>
      </c>
      <c r="E152" s="55">
        <v>23034.063226624938</v>
      </c>
      <c r="F152">
        <v>12</v>
      </c>
      <c r="G152" t="s">
        <v>194</v>
      </c>
      <c r="H152" t="s">
        <v>194</v>
      </c>
      <c r="I152" t="s">
        <v>194</v>
      </c>
      <c r="J152" t="s">
        <v>194</v>
      </c>
    </row>
    <row r="153" spans="2:10" x14ac:dyDescent="0.3">
      <c r="B153">
        <v>136</v>
      </c>
      <c r="C153" s="55">
        <v>21867.995784827312</v>
      </c>
      <c r="D153">
        <v>9</v>
      </c>
      <c r="E153" s="55">
        <v>29492.536755547808</v>
      </c>
      <c r="F153">
        <v>12</v>
      </c>
      <c r="G153" t="s">
        <v>194</v>
      </c>
      <c r="H153" t="s">
        <v>194</v>
      </c>
      <c r="I153" t="s">
        <v>194</v>
      </c>
      <c r="J153" t="s">
        <v>194</v>
      </c>
    </row>
    <row r="154" spans="2:10" x14ac:dyDescent="0.3">
      <c r="B154">
        <v>137</v>
      </c>
      <c r="C154" s="55">
        <v>22043.647631104894</v>
      </c>
      <c r="D154">
        <v>9</v>
      </c>
      <c r="E154" s="55">
        <v>28052.689142774918</v>
      </c>
      <c r="F154">
        <v>12</v>
      </c>
      <c r="G154" t="s">
        <v>194</v>
      </c>
      <c r="H154" t="s">
        <v>194</v>
      </c>
      <c r="I154" t="s">
        <v>194</v>
      </c>
      <c r="J154" t="s">
        <v>194</v>
      </c>
    </row>
    <row r="155" spans="2:10" x14ac:dyDescent="0.3">
      <c r="B155">
        <v>138</v>
      </c>
      <c r="C155" s="55">
        <v>17550.326751948</v>
      </c>
      <c r="D155">
        <v>9</v>
      </c>
      <c r="E155" s="55">
        <v>29429.126208158297</v>
      </c>
      <c r="F155">
        <v>12</v>
      </c>
      <c r="G155" t="s">
        <v>194</v>
      </c>
      <c r="H155" t="s">
        <v>194</v>
      </c>
      <c r="I155" t="s">
        <v>194</v>
      </c>
      <c r="J155" t="s">
        <v>194</v>
      </c>
    </row>
    <row r="156" spans="2:10" x14ac:dyDescent="0.3">
      <c r="B156">
        <v>139</v>
      </c>
      <c r="C156" s="55">
        <v>24589.41471493784</v>
      </c>
      <c r="D156">
        <v>9</v>
      </c>
      <c r="E156" s="55">
        <v>27641.211950568621</v>
      </c>
      <c r="F156">
        <v>12</v>
      </c>
      <c r="G156" t="s">
        <v>194</v>
      </c>
      <c r="H156" t="s">
        <v>194</v>
      </c>
      <c r="I156" t="s">
        <v>194</v>
      </c>
      <c r="J156" t="s">
        <v>194</v>
      </c>
    </row>
    <row r="157" spans="2:10" x14ac:dyDescent="0.3">
      <c r="B157">
        <v>140</v>
      </c>
      <c r="C157" s="55">
        <v>25307.774482574765</v>
      </c>
      <c r="D157">
        <v>9</v>
      </c>
      <c r="E157" s="55">
        <v>36879.073014935835</v>
      </c>
      <c r="F157">
        <v>12</v>
      </c>
      <c r="G157" t="s">
        <v>194</v>
      </c>
      <c r="H157" t="s">
        <v>194</v>
      </c>
      <c r="I157" t="s">
        <v>194</v>
      </c>
      <c r="J157" t="s">
        <v>194</v>
      </c>
    </row>
    <row r="158" spans="2:10" x14ac:dyDescent="0.3">
      <c r="B158">
        <v>141</v>
      </c>
      <c r="C158" s="55">
        <v>12317.491360073331</v>
      </c>
      <c r="D158">
        <v>6</v>
      </c>
      <c r="E158" s="55">
        <v>13076.968129364404</v>
      </c>
      <c r="F158">
        <v>6</v>
      </c>
      <c r="G158" t="s">
        <v>194</v>
      </c>
      <c r="H158" t="s">
        <v>194</v>
      </c>
      <c r="I158" t="s">
        <v>194</v>
      </c>
      <c r="J158" t="s">
        <v>194</v>
      </c>
    </row>
    <row r="159" spans="2:10" x14ac:dyDescent="0.3">
      <c r="B159">
        <v>142</v>
      </c>
      <c r="C159" s="55">
        <v>15950.354628489891</v>
      </c>
      <c r="D159">
        <v>6</v>
      </c>
      <c r="E159" s="55">
        <v>15762.998210054051</v>
      </c>
      <c r="F159">
        <v>6</v>
      </c>
      <c r="G159" t="s">
        <v>194</v>
      </c>
      <c r="H159" t="s">
        <v>194</v>
      </c>
      <c r="I159" t="s">
        <v>194</v>
      </c>
      <c r="J159" t="s">
        <v>194</v>
      </c>
    </row>
    <row r="160" spans="2:10" x14ac:dyDescent="0.3">
      <c r="B160">
        <v>143</v>
      </c>
      <c r="C160" s="55">
        <v>12810.071171470394</v>
      </c>
      <c r="D160">
        <v>6</v>
      </c>
      <c r="E160" s="55">
        <v>21120.572242172228</v>
      </c>
      <c r="F160">
        <v>8</v>
      </c>
      <c r="G160" t="s">
        <v>194</v>
      </c>
      <c r="H160" t="s">
        <v>194</v>
      </c>
      <c r="I160" t="s">
        <v>194</v>
      </c>
      <c r="J160" t="s">
        <v>194</v>
      </c>
    </row>
    <row r="161" spans="2:10" x14ac:dyDescent="0.3">
      <c r="B161">
        <v>144</v>
      </c>
      <c r="C161" s="55">
        <v>7551.4890203990544</v>
      </c>
      <c r="D161">
        <v>6</v>
      </c>
      <c r="E161" s="55">
        <v>24061.392834570346</v>
      </c>
      <c r="F161">
        <v>10</v>
      </c>
      <c r="G161" t="s">
        <v>194</v>
      </c>
      <c r="H161" t="s">
        <v>194</v>
      </c>
      <c r="I161" t="s">
        <v>194</v>
      </c>
      <c r="J161" t="s">
        <v>194</v>
      </c>
    </row>
    <row r="162" spans="2:10" x14ac:dyDescent="0.3">
      <c r="B162">
        <v>145</v>
      </c>
      <c r="C162" s="55">
        <v>14746.582850865292</v>
      </c>
      <c r="D162">
        <v>6</v>
      </c>
      <c r="E162" s="55">
        <v>33104.556647448648</v>
      </c>
      <c r="F162">
        <v>12</v>
      </c>
      <c r="G162" t="s">
        <v>194</v>
      </c>
      <c r="H162" t="s">
        <v>194</v>
      </c>
      <c r="I162" t="s">
        <v>194</v>
      </c>
      <c r="J162" t="s">
        <v>194</v>
      </c>
    </row>
    <row r="163" spans="2:10" x14ac:dyDescent="0.3">
      <c r="B163">
        <v>146</v>
      </c>
      <c r="C163" s="55">
        <v>10327.956800910473</v>
      </c>
      <c r="D163">
        <v>6</v>
      </c>
      <c r="E163" s="55">
        <v>35964.817301775503</v>
      </c>
      <c r="F163">
        <v>12</v>
      </c>
      <c r="G163" t="s">
        <v>194</v>
      </c>
      <c r="H163" t="s">
        <v>194</v>
      </c>
      <c r="I163" t="s">
        <v>194</v>
      </c>
      <c r="J163" t="s">
        <v>194</v>
      </c>
    </row>
    <row r="164" spans="2:10" x14ac:dyDescent="0.3">
      <c r="B164">
        <v>147</v>
      </c>
      <c r="C164" s="55">
        <v>18561.12652660684</v>
      </c>
      <c r="D164">
        <v>6</v>
      </c>
      <c r="E164" s="55">
        <v>34304.216206830424</v>
      </c>
      <c r="F164">
        <v>12</v>
      </c>
      <c r="G164" t="s">
        <v>194</v>
      </c>
      <c r="H164" t="s">
        <v>194</v>
      </c>
      <c r="I164" t="s">
        <v>194</v>
      </c>
      <c r="J164" t="s">
        <v>194</v>
      </c>
    </row>
    <row r="165" spans="2:10" x14ac:dyDescent="0.3">
      <c r="B165">
        <v>148</v>
      </c>
      <c r="C165" s="55">
        <v>14229.216124235983</v>
      </c>
      <c r="D165">
        <v>6</v>
      </c>
      <c r="E165" s="55">
        <v>42085.058171344179</v>
      </c>
      <c r="F165">
        <v>12</v>
      </c>
      <c r="G165" t="s">
        <v>194</v>
      </c>
      <c r="H165" t="s">
        <v>194</v>
      </c>
      <c r="I165" t="s">
        <v>194</v>
      </c>
      <c r="J165" t="s">
        <v>194</v>
      </c>
    </row>
    <row r="166" spans="2:10" x14ac:dyDescent="0.3">
      <c r="B166">
        <v>149</v>
      </c>
      <c r="C166" s="55">
        <v>23278.584179279926</v>
      </c>
      <c r="D166">
        <v>6</v>
      </c>
      <c r="E166" s="55">
        <v>42485.334898062727</v>
      </c>
      <c r="F166">
        <v>12</v>
      </c>
      <c r="G166" t="s">
        <v>194</v>
      </c>
      <c r="H166" t="s">
        <v>194</v>
      </c>
      <c r="I166" t="s">
        <v>194</v>
      </c>
      <c r="J166" t="s">
        <v>194</v>
      </c>
    </row>
    <row r="167" spans="2:10" x14ac:dyDescent="0.3">
      <c r="B167">
        <v>150</v>
      </c>
      <c r="C167" s="55">
        <v>15180.13713974297</v>
      </c>
      <c r="D167">
        <v>6</v>
      </c>
      <c r="E167" s="55">
        <v>42458.974669248419</v>
      </c>
      <c r="F167">
        <v>12</v>
      </c>
      <c r="G167" t="s">
        <v>194</v>
      </c>
      <c r="H167" t="s">
        <v>194</v>
      </c>
      <c r="I167" t="s">
        <v>194</v>
      </c>
      <c r="J167" t="s">
        <v>194</v>
      </c>
    </row>
    <row r="168" spans="2:10" x14ac:dyDescent="0.3">
      <c r="B168">
        <v>151</v>
      </c>
      <c r="C168" s="55">
        <v>39171.845834561544</v>
      </c>
      <c r="D168">
        <v>12</v>
      </c>
      <c r="E168" s="55">
        <v>28350.276532067139</v>
      </c>
      <c r="F168">
        <v>12</v>
      </c>
      <c r="G168" t="s">
        <v>183</v>
      </c>
      <c r="H168" t="s">
        <v>194</v>
      </c>
      <c r="I168" t="s">
        <v>183</v>
      </c>
      <c r="J168" t="s">
        <v>183</v>
      </c>
    </row>
    <row r="169" spans="2:10" x14ac:dyDescent="0.3">
      <c r="B169">
        <v>152</v>
      </c>
      <c r="C169" s="55">
        <v>22418.566133792461</v>
      </c>
      <c r="D169">
        <v>12</v>
      </c>
      <c r="E169" s="55">
        <v>43515.106495024782</v>
      </c>
      <c r="F169">
        <v>12</v>
      </c>
      <c r="G169" t="s">
        <v>183</v>
      </c>
      <c r="H169" t="s">
        <v>194</v>
      </c>
      <c r="I169" t="s">
        <v>183</v>
      </c>
      <c r="J169" t="s">
        <v>183</v>
      </c>
    </row>
    <row r="170" spans="2:10" x14ac:dyDescent="0.3">
      <c r="B170">
        <v>153</v>
      </c>
      <c r="C170" s="55">
        <v>32391.265446055346</v>
      </c>
      <c r="D170">
        <v>12</v>
      </c>
      <c r="E170" s="55">
        <v>37767.327127643817</v>
      </c>
      <c r="F170">
        <v>12</v>
      </c>
      <c r="G170" t="s">
        <v>183</v>
      </c>
      <c r="H170" t="s">
        <v>194</v>
      </c>
      <c r="I170" t="s">
        <v>183</v>
      </c>
      <c r="J170" t="s">
        <v>183</v>
      </c>
    </row>
    <row r="171" spans="2:10" x14ac:dyDescent="0.3">
      <c r="B171">
        <v>154</v>
      </c>
      <c r="C171" s="55">
        <v>37479.325988998884</v>
      </c>
      <c r="D171">
        <v>12</v>
      </c>
      <c r="E171" s="55">
        <v>35476.753617225258</v>
      </c>
      <c r="F171">
        <v>12</v>
      </c>
      <c r="G171" t="s">
        <v>183</v>
      </c>
      <c r="H171" t="s">
        <v>194</v>
      </c>
      <c r="I171" t="s">
        <v>183</v>
      </c>
      <c r="J171" t="s">
        <v>183</v>
      </c>
    </row>
    <row r="172" spans="2:10" x14ac:dyDescent="0.3">
      <c r="B172">
        <v>155</v>
      </c>
      <c r="C172" s="55">
        <v>31856.56376896525</v>
      </c>
      <c r="D172">
        <v>12</v>
      </c>
      <c r="E172" s="55">
        <v>45483.370034826956</v>
      </c>
      <c r="F172">
        <v>12</v>
      </c>
      <c r="G172" t="s">
        <v>183</v>
      </c>
      <c r="H172" t="s">
        <v>194</v>
      </c>
      <c r="I172" t="s">
        <v>183</v>
      </c>
      <c r="J172" t="s">
        <v>183</v>
      </c>
    </row>
    <row r="173" spans="2:10" x14ac:dyDescent="0.3">
      <c r="B173">
        <v>156</v>
      </c>
      <c r="C173" s="55">
        <v>27506.699864188478</v>
      </c>
      <c r="D173">
        <v>12</v>
      </c>
      <c r="E173" s="55">
        <v>40015.466326879323</v>
      </c>
      <c r="F173">
        <v>12</v>
      </c>
      <c r="G173" t="s">
        <v>183</v>
      </c>
      <c r="H173" t="s">
        <v>194</v>
      </c>
      <c r="I173" t="s">
        <v>183</v>
      </c>
      <c r="J173" t="s">
        <v>183</v>
      </c>
    </row>
    <row r="174" spans="2:10" x14ac:dyDescent="0.3">
      <c r="B174">
        <v>157</v>
      </c>
      <c r="C174" s="55">
        <v>44095.49187879001</v>
      </c>
      <c r="D174">
        <v>12</v>
      </c>
      <c r="E174" s="55">
        <v>40247.010695422956</v>
      </c>
      <c r="F174">
        <v>12</v>
      </c>
      <c r="G174" t="s">
        <v>183</v>
      </c>
      <c r="H174" t="s">
        <v>194</v>
      </c>
      <c r="I174" t="s">
        <v>183</v>
      </c>
      <c r="J174" t="s">
        <v>183</v>
      </c>
    </row>
    <row r="175" spans="2:10" x14ac:dyDescent="0.3">
      <c r="B175">
        <v>158</v>
      </c>
      <c r="C175" s="55">
        <v>38417.836666641822</v>
      </c>
      <c r="D175">
        <v>12</v>
      </c>
      <c r="E175" s="55">
        <v>25707.227045120628</v>
      </c>
      <c r="F175">
        <v>12</v>
      </c>
      <c r="G175" t="s">
        <v>183</v>
      </c>
      <c r="H175" t="s">
        <v>194</v>
      </c>
      <c r="I175" t="s">
        <v>183</v>
      </c>
      <c r="J175" t="s">
        <v>183</v>
      </c>
    </row>
    <row r="176" spans="2:10" x14ac:dyDescent="0.3">
      <c r="B176">
        <v>159</v>
      </c>
      <c r="C176" s="55">
        <v>34294.249057900233</v>
      </c>
      <c r="D176">
        <v>12</v>
      </c>
      <c r="E176" s="55">
        <v>31833.994057201853</v>
      </c>
      <c r="F176">
        <v>12</v>
      </c>
      <c r="G176" t="s">
        <v>183</v>
      </c>
      <c r="H176" t="s">
        <v>194</v>
      </c>
      <c r="I176" t="s">
        <v>183</v>
      </c>
      <c r="J176" t="s">
        <v>183</v>
      </c>
    </row>
    <row r="177" spans="2:10" x14ac:dyDescent="0.3">
      <c r="B177">
        <v>160</v>
      </c>
      <c r="C177" s="55">
        <v>25174.332949733835</v>
      </c>
      <c r="D177">
        <v>12</v>
      </c>
      <c r="E177" s="55">
        <v>46608.813475617346</v>
      </c>
      <c r="F177">
        <v>12</v>
      </c>
      <c r="G177" t="s">
        <v>183</v>
      </c>
      <c r="H177" t="s">
        <v>194</v>
      </c>
      <c r="I177" t="s">
        <v>183</v>
      </c>
      <c r="J177" t="s">
        <v>183</v>
      </c>
    </row>
    <row r="178" spans="2:10" x14ac:dyDescent="0.3">
      <c r="B178">
        <v>161</v>
      </c>
      <c r="C178" s="55">
        <v>27074.044281190654</v>
      </c>
      <c r="D178">
        <v>12</v>
      </c>
      <c r="E178" s="55">
        <v>36009.092498678197</v>
      </c>
      <c r="F178">
        <v>12</v>
      </c>
      <c r="G178" t="s">
        <v>183</v>
      </c>
      <c r="H178" t="s">
        <v>194</v>
      </c>
      <c r="I178" t="s">
        <v>183</v>
      </c>
      <c r="J178" t="s">
        <v>183</v>
      </c>
    </row>
    <row r="179" spans="2:10" x14ac:dyDescent="0.3">
      <c r="B179">
        <v>162</v>
      </c>
      <c r="C179" s="55">
        <v>24827.988590207016</v>
      </c>
      <c r="D179">
        <v>10</v>
      </c>
      <c r="E179" s="55">
        <v>47425.181654743916</v>
      </c>
      <c r="F179">
        <v>12</v>
      </c>
      <c r="G179" t="s">
        <v>183</v>
      </c>
      <c r="H179" t="s">
        <v>194</v>
      </c>
      <c r="I179" t="s">
        <v>183</v>
      </c>
      <c r="J179" t="s">
        <v>183</v>
      </c>
    </row>
    <row r="180" spans="2:10" x14ac:dyDescent="0.3">
      <c r="B180">
        <v>163</v>
      </c>
      <c r="C180" s="55">
        <v>20259.180580326894</v>
      </c>
      <c r="D180">
        <v>10</v>
      </c>
      <c r="E180" s="55">
        <v>37559.056164611844</v>
      </c>
      <c r="F180">
        <v>12</v>
      </c>
      <c r="G180" t="s">
        <v>183</v>
      </c>
      <c r="H180" t="s">
        <v>194</v>
      </c>
      <c r="I180" t="s">
        <v>183</v>
      </c>
      <c r="J180" t="s">
        <v>183</v>
      </c>
    </row>
    <row r="181" spans="2:10" x14ac:dyDescent="0.3">
      <c r="B181">
        <v>164</v>
      </c>
      <c r="C181" s="55">
        <v>43210.082890514692</v>
      </c>
      <c r="D181">
        <v>10</v>
      </c>
      <c r="E181" s="55">
        <v>32913.539363559219</v>
      </c>
      <c r="F181">
        <v>12</v>
      </c>
      <c r="G181" t="s">
        <v>183</v>
      </c>
      <c r="H181" t="s">
        <v>194</v>
      </c>
      <c r="I181" t="s">
        <v>183</v>
      </c>
      <c r="J181" t="s">
        <v>183</v>
      </c>
    </row>
    <row r="182" spans="2:10" x14ac:dyDescent="0.3">
      <c r="B182">
        <v>165</v>
      </c>
      <c r="C182" s="55">
        <v>21804.629992988514</v>
      </c>
      <c r="D182">
        <v>9</v>
      </c>
      <c r="E182" s="55">
        <v>29117.655973487381</v>
      </c>
      <c r="F182">
        <v>8</v>
      </c>
      <c r="G182" t="s">
        <v>183</v>
      </c>
      <c r="H182" t="s">
        <v>194</v>
      </c>
      <c r="I182" t="s">
        <v>183</v>
      </c>
      <c r="J182" t="s">
        <v>183</v>
      </c>
    </row>
    <row r="183" spans="2:10" x14ac:dyDescent="0.3">
      <c r="B183">
        <v>166</v>
      </c>
      <c r="C183" s="55">
        <v>26972.629277288615</v>
      </c>
      <c r="D183">
        <v>10</v>
      </c>
      <c r="E183" s="55">
        <v>28229.981067885768</v>
      </c>
      <c r="F183">
        <v>8</v>
      </c>
      <c r="G183" t="s">
        <v>183</v>
      </c>
      <c r="H183" t="s">
        <v>194</v>
      </c>
      <c r="I183" t="s">
        <v>183</v>
      </c>
      <c r="J183" t="s">
        <v>183</v>
      </c>
    </row>
    <row r="184" spans="2:10" x14ac:dyDescent="0.3">
      <c r="B184">
        <v>167</v>
      </c>
      <c r="C184" s="55">
        <v>24535.419303670846</v>
      </c>
      <c r="D184">
        <v>11</v>
      </c>
      <c r="E184" s="55">
        <v>21604.490133107713</v>
      </c>
      <c r="F184">
        <v>8</v>
      </c>
      <c r="G184" t="s">
        <v>183</v>
      </c>
      <c r="H184" t="s">
        <v>194</v>
      </c>
      <c r="I184" t="s">
        <v>183</v>
      </c>
      <c r="J184" t="s">
        <v>183</v>
      </c>
    </row>
    <row r="185" spans="2:10" x14ac:dyDescent="0.3">
      <c r="B185">
        <v>168</v>
      </c>
      <c r="C185" s="55">
        <v>37137.496934514907</v>
      </c>
      <c r="D185">
        <v>12</v>
      </c>
      <c r="E185" s="55">
        <v>19895.896245946904</v>
      </c>
      <c r="F185">
        <v>6</v>
      </c>
      <c r="G185" t="s">
        <v>183</v>
      </c>
      <c r="H185" t="s">
        <v>194</v>
      </c>
      <c r="I185" t="s">
        <v>183</v>
      </c>
      <c r="J185" t="s">
        <v>183</v>
      </c>
    </row>
    <row r="186" spans="2:10" x14ac:dyDescent="0.3">
      <c r="B186">
        <v>169</v>
      </c>
      <c r="C186" s="55">
        <v>19720.299528398224</v>
      </c>
      <c r="D186">
        <v>6</v>
      </c>
      <c r="E186" s="55">
        <v>18157.133872865281</v>
      </c>
      <c r="F186">
        <v>6</v>
      </c>
      <c r="G186" t="s">
        <v>183</v>
      </c>
      <c r="H186" t="s">
        <v>194</v>
      </c>
      <c r="I186" t="s">
        <v>183</v>
      </c>
      <c r="J186" t="s">
        <v>183</v>
      </c>
    </row>
    <row r="187" spans="2:10" x14ac:dyDescent="0.3">
      <c r="B187">
        <v>170</v>
      </c>
      <c r="C187" s="55">
        <v>16124.816648937147</v>
      </c>
      <c r="D187">
        <v>8</v>
      </c>
      <c r="E187" s="55">
        <v>34347.812070175707</v>
      </c>
      <c r="F187">
        <v>12</v>
      </c>
      <c r="G187" t="s">
        <v>183</v>
      </c>
      <c r="H187" t="s">
        <v>194</v>
      </c>
      <c r="I187" t="s">
        <v>183</v>
      </c>
      <c r="J187" t="s">
        <v>183</v>
      </c>
    </row>
    <row r="188" spans="2:10" x14ac:dyDescent="0.3">
      <c r="B188">
        <v>171</v>
      </c>
      <c r="C188" s="55">
        <v>41835.372587806552</v>
      </c>
      <c r="D188">
        <v>12</v>
      </c>
      <c r="E188" s="55">
        <v>33478.453645468588</v>
      </c>
      <c r="F188">
        <v>12</v>
      </c>
      <c r="G188" t="s">
        <v>194</v>
      </c>
      <c r="H188" t="s">
        <v>183</v>
      </c>
      <c r="I188" t="s">
        <v>183</v>
      </c>
      <c r="J188" t="s">
        <v>183</v>
      </c>
    </row>
    <row r="189" spans="2:10" x14ac:dyDescent="0.3">
      <c r="B189">
        <v>172</v>
      </c>
      <c r="C189" s="55">
        <v>20533.767058679034</v>
      </c>
      <c r="D189">
        <v>12</v>
      </c>
      <c r="E189" s="55">
        <v>49334.047058353899</v>
      </c>
      <c r="F189">
        <v>12</v>
      </c>
      <c r="G189" t="s">
        <v>194</v>
      </c>
      <c r="H189" t="s">
        <v>183</v>
      </c>
      <c r="I189" t="s">
        <v>183</v>
      </c>
      <c r="J189" t="s">
        <v>183</v>
      </c>
    </row>
    <row r="190" spans="2:10" x14ac:dyDescent="0.3">
      <c r="B190">
        <v>173</v>
      </c>
      <c r="C190" s="55">
        <v>23034.945346789966</v>
      </c>
      <c r="D190">
        <v>12</v>
      </c>
      <c r="E190" s="55">
        <v>43106.935088267404</v>
      </c>
      <c r="F190">
        <v>12</v>
      </c>
      <c r="G190" t="s">
        <v>194</v>
      </c>
      <c r="H190" t="s">
        <v>183</v>
      </c>
      <c r="I190" t="s">
        <v>183</v>
      </c>
      <c r="J190" t="s">
        <v>183</v>
      </c>
    </row>
    <row r="191" spans="2:10" x14ac:dyDescent="0.3">
      <c r="B191">
        <v>174</v>
      </c>
      <c r="C191" s="55">
        <v>58842.381309886216</v>
      </c>
      <c r="D191">
        <v>12</v>
      </c>
      <c r="E191" s="55">
        <v>56506.088762182022</v>
      </c>
      <c r="F191">
        <v>12</v>
      </c>
      <c r="G191" t="s">
        <v>194</v>
      </c>
      <c r="H191" t="s">
        <v>183</v>
      </c>
      <c r="I191" t="s">
        <v>183</v>
      </c>
      <c r="J191" t="s">
        <v>183</v>
      </c>
    </row>
    <row r="192" spans="2:10" x14ac:dyDescent="0.3">
      <c r="B192">
        <v>175</v>
      </c>
      <c r="C192" s="55">
        <v>38843.446187471534</v>
      </c>
      <c r="D192">
        <v>12</v>
      </c>
      <c r="E192" s="55">
        <v>45217.449753159875</v>
      </c>
      <c r="F192">
        <v>12</v>
      </c>
      <c r="G192" t="s">
        <v>194</v>
      </c>
      <c r="H192" t="s">
        <v>183</v>
      </c>
      <c r="I192" t="s">
        <v>183</v>
      </c>
      <c r="J192" t="s">
        <v>183</v>
      </c>
    </row>
    <row r="193" spans="2:10" x14ac:dyDescent="0.3">
      <c r="B193">
        <v>176</v>
      </c>
      <c r="C193" s="55">
        <v>40436.169290772472</v>
      </c>
      <c r="D193">
        <v>12</v>
      </c>
      <c r="E193" s="55">
        <v>40582.843841228932</v>
      </c>
      <c r="F193">
        <v>12</v>
      </c>
      <c r="G193" t="s">
        <v>194</v>
      </c>
      <c r="H193" t="s">
        <v>183</v>
      </c>
      <c r="I193" t="s">
        <v>183</v>
      </c>
      <c r="J193" t="s">
        <v>183</v>
      </c>
    </row>
    <row r="194" spans="2:10" x14ac:dyDescent="0.3">
      <c r="B194">
        <v>177</v>
      </c>
      <c r="C194" s="55">
        <v>35869.144387105909</v>
      </c>
      <c r="D194">
        <v>12</v>
      </c>
      <c r="E194" s="55">
        <v>46398.451269976635</v>
      </c>
      <c r="F194">
        <v>12</v>
      </c>
      <c r="G194" t="s">
        <v>194</v>
      </c>
      <c r="H194" t="s">
        <v>183</v>
      </c>
      <c r="I194" t="s">
        <v>183</v>
      </c>
      <c r="J194" t="s">
        <v>183</v>
      </c>
    </row>
    <row r="195" spans="2:10" x14ac:dyDescent="0.3">
      <c r="B195">
        <v>178</v>
      </c>
      <c r="C195" s="55">
        <v>42552.919773045141</v>
      </c>
      <c r="D195">
        <v>12</v>
      </c>
      <c r="E195" s="55">
        <v>37656.248026575471</v>
      </c>
      <c r="F195">
        <v>12</v>
      </c>
      <c r="G195" t="s">
        <v>194</v>
      </c>
      <c r="H195" t="s">
        <v>183</v>
      </c>
      <c r="I195" t="s">
        <v>183</v>
      </c>
      <c r="J195" t="s">
        <v>183</v>
      </c>
    </row>
    <row r="196" spans="2:10" x14ac:dyDescent="0.3">
      <c r="B196">
        <v>179</v>
      </c>
      <c r="C196" s="55">
        <v>34737.633783932557</v>
      </c>
      <c r="D196">
        <v>12</v>
      </c>
      <c r="E196" s="55">
        <v>52142.141577947128</v>
      </c>
      <c r="F196">
        <v>12</v>
      </c>
      <c r="G196" t="s">
        <v>194</v>
      </c>
      <c r="H196" t="s">
        <v>183</v>
      </c>
      <c r="I196" t="s">
        <v>183</v>
      </c>
      <c r="J196" t="s">
        <v>183</v>
      </c>
    </row>
    <row r="197" spans="2:10" x14ac:dyDescent="0.3">
      <c r="B197">
        <v>180</v>
      </c>
      <c r="C197" s="55">
        <v>25239.938103875666</v>
      </c>
      <c r="D197">
        <v>12</v>
      </c>
      <c r="E197" s="55">
        <v>46982.933396762994</v>
      </c>
      <c r="F197">
        <v>12</v>
      </c>
      <c r="G197" t="s">
        <v>194</v>
      </c>
      <c r="H197" t="s">
        <v>183</v>
      </c>
      <c r="I197" t="s">
        <v>183</v>
      </c>
      <c r="J197" t="s">
        <v>183</v>
      </c>
    </row>
    <row r="198" spans="2:10" x14ac:dyDescent="0.3">
      <c r="B198">
        <v>181</v>
      </c>
      <c r="C198" s="55">
        <v>31279.118969924595</v>
      </c>
      <c r="D198">
        <v>12</v>
      </c>
      <c r="E198" s="55">
        <v>46916.040640492844</v>
      </c>
      <c r="F198">
        <v>12</v>
      </c>
      <c r="G198" t="s">
        <v>194</v>
      </c>
      <c r="H198" t="s">
        <v>183</v>
      </c>
      <c r="I198" t="s">
        <v>183</v>
      </c>
      <c r="J198" t="s">
        <v>183</v>
      </c>
    </row>
    <row r="199" spans="2:10" x14ac:dyDescent="0.3">
      <c r="B199">
        <v>182</v>
      </c>
      <c r="C199" s="55">
        <v>48284.950892395376</v>
      </c>
      <c r="D199">
        <v>12</v>
      </c>
      <c r="E199" s="55">
        <v>28217.497593459662</v>
      </c>
      <c r="F199">
        <v>12</v>
      </c>
      <c r="G199" t="s">
        <v>194</v>
      </c>
      <c r="H199" t="s">
        <v>183</v>
      </c>
      <c r="I199" t="s">
        <v>183</v>
      </c>
      <c r="J199" t="s">
        <v>183</v>
      </c>
    </row>
    <row r="200" spans="2:10" x14ac:dyDescent="0.3">
      <c r="B200">
        <v>183</v>
      </c>
      <c r="C200" s="55">
        <v>35684.908020699011</v>
      </c>
      <c r="D200">
        <v>10</v>
      </c>
      <c r="E200" s="55">
        <v>24966.165396272194</v>
      </c>
      <c r="F200">
        <v>9</v>
      </c>
      <c r="G200" t="s">
        <v>194</v>
      </c>
      <c r="H200" t="s">
        <v>183</v>
      </c>
      <c r="I200" t="s">
        <v>183</v>
      </c>
      <c r="J200" t="s">
        <v>183</v>
      </c>
    </row>
    <row r="201" spans="2:10" x14ac:dyDescent="0.3">
      <c r="B201">
        <v>184</v>
      </c>
      <c r="C201" s="55">
        <v>25786.048505656319</v>
      </c>
      <c r="D201">
        <v>10</v>
      </c>
      <c r="E201" s="55">
        <v>48995.496094496484</v>
      </c>
      <c r="F201">
        <v>12</v>
      </c>
      <c r="G201" t="s">
        <v>194</v>
      </c>
      <c r="H201" t="s">
        <v>183</v>
      </c>
      <c r="I201" t="s">
        <v>183</v>
      </c>
      <c r="J201" t="s">
        <v>183</v>
      </c>
    </row>
    <row r="202" spans="2:10" x14ac:dyDescent="0.3">
      <c r="B202">
        <v>185</v>
      </c>
      <c r="C202" s="55">
        <v>20145.646264358475</v>
      </c>
      <c r="D202">
        <v>8</v>
      </c>
      <c r="E202" s="55">
        <v>44932.234908578066</v>
      </c>
      <c r="F202">
        <v>12</v>
      </c>
      <c r="G202" t="s">
        <v>194</v>
      </c>
      <c r="H202" t="s">
        <v>183</v>
      </c>
      <c r="I202" t="s">
        <v>183</v>
      </c>
      <c r="J202" t="s">
        <v>183</v>
      </c>
    </row>
    <row r="203" spans="2:10" x14ac:dyDescent="0.3">
      <c r="B203">
        <v>186</v>
      </c>
      <c r="C203" s="55">
        <v>21199.430285594146</v>
      </c>
      <c r="D203">
        <v>8</v>
      </c>
      <c r="E203" s="55">
        <v>40666.444903679301</v>
      </c>
      <c r="F203">
        <v>12</v>
      </c>
      <c r="G203" t="s">
        <v>194</v>
      </c>
      <c r="H203" t="s">
        <v>183</v>
      </c>
      <c r="I203" t="s">
        <v>183</v>
      </c>
      <c r="J203" t="s">
        <v>183</v>
      </c>
    </row>
    <row r="204" spans="2:10" x14ac:dyDescent="0.3">
      <c r="B204">
        <v>187</v>
      </c>
      <c r="C204" s="55">
        <v>26690.089756206096</v>
      </c>
      <c r="D204">
        <v>8</v>
      </c>
      <c r="E204" s="55">
        <v>23528.810096315479</v>
      </c>
      <c r="F204">
        <v>8</v>
      </c>
      <c r="G204" t="s">
        <v>194</v>
      </c>
      <c r="H204" t="s">
        <v>183</v>
      </c>
      <c r="I204" t="s">
        <v>183</v>
      </c>
      <c r="J204" t="s">
        <v>183</v>
      </c>
    </row>
    <row r="205" spans="2:10" x14ac:dyDescent="0.3">
      <c r="B205">
        <v>188</v>
      </c>
      <c r="C205" s="55">
        <v>25541.395741025834</v>
      </c>
      <c r="D205">
        <v>7</v>
      </c>
      <c r="E205" s="55">
        <v>36372.277588183824</v>
      </c>
      <c r="F205">
        <v>12</v>
      </c>
      <c r="G205" t="s">
        <v>194</v>
      </c>
      <c r="H205" t="s">
        <v>183</v>
      </c>
      <c r="I205" t="s">
        <v>183</v>
      </c>
      <c r="J205" t="s">
        <v>183</v>
      </c>
    </row>
    <row r="206" spans="2:10" x14ac:dyDescent="0.3">
      <c r="B206">
        <v>189</v>
      </c>
      <c r="C206" s="55">
        <v>19952.815739482103</v>
      </c>
      <c r="D206">
        <v>7</v>
      </c>
      <c r="E206" s="55">
        <v>38177.477836161735</v>
      </c>
      <c r="F206">
        <v>12</v>
      </c>
      <c r="G206" t="s">
        <v>194</v>
      </c>
      <c r="H206" t="s">
        <v>183</v>
      </c>
      <c r="I206" t="s">
        <v>183</v>
      </c>
      <c r="J206" t="s">
        <v>183</v>
      </c>
    </row>
    <row r="207" spans="2:10" x14ac:dyDescent="0.3">
      <c r="B207">
        <v>190</v>
      </c>
      <c r="C207" s="55">
        <v>25920.788546881569</v>
      </c>
      <c r="D207">
        <v>11</v>
      </c>
      <c r="E207" s="55">
        <v>29749.148169766919</v>
      </c>
      <c r="F207">
        <v>8</v>
      </c>
      <c r="G207" t="s">
        <v>194</v>
      </c>
      <c r="H207" t="s">
        <v>183</v>
      </c>
      <c r="I207" t="s">
        <v>183</v>
      </c>
      <c r="J207" t="s">
        <v>183</v>
      </c>
    </row>
    <row r="208" spans="2:10" x14ac:dyDescent="0.3">
      <c r="B208">
        <v>191</v>
      </c>
      <c r="C208" s="55">
        <v>37478.564124844357</v>
      </c>
      <c r="D208">
        <v>12</v>
      </c>
      <c r="E208" s="55">
        <v>48877.283392657613</v>
      </c>
      <c r="F208">
        <v>12</v>
      </c>
      <c r="G208" t="s">
        <v>183</v>
      </c>
      <c r="H208" t="s">
        <v>183</v>
      </c>
      <c r="I208" t="s">
        <v>183</v>
      </c>
      <c r="J208" t="s">
        <v>183</v>
      </c>
    </row>
    <row r="209" spans="2:10" x14ac:dyDescent="0.3">
      <c r="B209">
        <v>192</v>
      </c>
      <c r="C209" s="55">
        <v>29716.217913625376</v>
      </c>
      <c r="D209">
        <v>12</v>
      </c>
      <c r="E209" s="55">
        <v>33375.737087368776</v>
      </c>
      <c r="F209">
        <v>12</v>
      </c>
      <c r="G209" t="s">
        <v>183</v>
      </c>
      <c r="H209" t="s">
        <v>183</v>
      </c>
      <c r="I209" t="s">
        <v>183</v>
      </c>
      <c r="J209" t="s">
        <v>183</v>
      </c>
    </row>
    <row r="210" spans="2:10" x14ac:dyDescent="0.3">
      <c r="B210">
        <v>193</v>
      </c>
      <c r="C210" s="55">
        <v>41956.70976077798</v>
      </c>
      <c r="D210">
        <v>12</v>
      </c>
      <c r="E210" s="55">
        <v>38090.488774082049</v>
      </c>
      <c r="F210">
        <v>12</v>
      </c>
      <c r="G210" t="s">
        <v>183</v>
      </c>
      <c r="H210" t="s">
        <v>183</v>
      </c>
      <c r="I210" t="s">
        <v>183</v>
      </c>
      <c r="J210" t="s">
        <v>183</v>
      </c>
    </row>
    <row r="211" spans="2:10" x14ac:dyDescent="0.3">
      <c r="B211">
        <v>194</v>
      </c>
      <c r="C211" s="55">
        <v>42116.558103510659</v>
      </c>
      <c r="D211">
        <v>12</v>
      </c>
      <c r="E211" s="55">
        <v>40049.25735055004</v>
      </c>
      <c r="F211">
        <v>12</v>
      </c>
      <c r="G211" t="s">
        <v>183</v>
      </c>
      <c r="H211" t="s">
        <v>183</v>
      </c>
      <c r="I211" t="s">
        <v>183</v>
      </c>
      <c r="J211" t="s">
        <v>183</v>
      </c>
    </row>
    <row r="212" spans="2:10" x14ac:dyDescent="0.3">
      <c r="B212">
        <v>195</v>
      </c>
      <c r="C212" s="55">
        <v>38447.256971030074</v>
      </c>
      <c r="D212">
        <v>12</v>
      </c>
      <c r="E212" s="55">
        <v>23745.372972934711</v>
      </c>
      <c r="F212">
        <v>12</v>
      </c>
      <c r="G212" t="s">
        <v>183</v>
      </c>
      <c r="H212" t="s">
        <v>183</v>
      </c>
      <c r="I212" t="s">
        <v>183</v>
      </c>
      <c r="J212" t="s">
        <v>183</v>
      </c>
    </row>
    <row r="213" spans="2:10" x14ac:dyDescent="0.3">
      <c r="B213">
        <v>196</v>
      </c>
      <c r="C213" s="55">
        <v>43468.369585559776</v>
      </c>
      <c r="D213">
        <v>12</v>
      </c>
      <c r="E213" s="55">
        <v>35581.385745595835</v>
      </c>
      <c r="F213">
        <v>12</v>
      </c>
      <c r="G213" t="s">
        <v>183</v>
      </c>
      <c r="H213" t="s">
        <v>183</v>
      </c>
      <c r="I213" t="s">
        <v>183</v>
      </c>
      <c r="J213" t="s">
        <v>183</v>
      </c>
    </row>
    <row r="214" spans="2:10" x14ac:dyDescent="0.3">
      <c r="B214">
        <v>197</v>
      </c>
      <c r="C214" s="55">
        <v>46401.669639675732</v>
      </c>
      <c r="D214">
        <v>12</v>
      </c>
      <c r="E214" s="55">
        <v>47049.552666372772</v>
      </c>
      <c r="F214">
        <v>12</v>
      </c>
      <c r="G214" t="s">
        <v>183</v>
      </c>
      <c r="H214" t="s">
        <v>183</v>
      </c>
      <c r="I214" t="s">
        <v>183</v>
      </c>
      <c r="J214" t="s">
        <v>183</v>
      </c>
    </row>
    <row r="215" spans="2:10" x14ac:dyDescent="0.3">
      <c r="B215">
        <v>198</v>
      </c>
      <c r="C215" s="55">
        <v>41847.451297784814</v>
      </c>
      <c r="D215">
        <v>12</v>
      </c>
      <c r="E215" s="55">
        <v>49564.402047946991</v>
      </c>
      <c r="F215">
        <v>12</v>
      </c>
      <c r="G215" t="s">
        <v>183</v>
      </c>
      <c r="H215" t="s">
        <v>183</v>
      </c>
      <c r="I215" t="s">
        <v>183</v>
      </c>
      <c r="J215" t="s">
        <v>183</v>
      </c>
    </row>
    <row r="216" spans="2:10" x14ac:dyDescent="0.3">
      <c r="B216">
        <v>199</v>
      </c>
      <c r="C216" s="55">
        <v>35298.128131135963</v>
      </c>
      <c r="D216">
        <v>12</v>
      </c>
      <c r="E216" s="55">
        <v>32083.274885737621</v>
      </c>
      <c r="F216">
        <v>12</v>
      </c>
      <c r="G216" t="s">
        <v>183</v>
      </c>
      <c r="H216" t="s">
        <v>183</v>
      </c>
      <c r="I216" t="s">
        <v>183</v>
      </c>
      <c r="J216" t="s">
        <v>183</v>
      </c>
    </row>
    <row r="217" spans="2:10" x14ac:dyDescent="0.3">
      <c r="B217">
        <v>200</v>
      </c>
      <c r="C217" s="55">
        <v>42312.531498947399</v>
      </c>
      <c r="D217">
        <v>12</v>
      </c>
      <c r="E217" s="55">
        <v>43138.717241601946</v>
      </c>
      <c r="F217">
        <v>12</v>
      </c>
      <c r="G217" t="s">
        <v>183</v>
      </c>
      <c r="H217" t="s">
        <v>183</v>
      </c>
      <c r="I217" t="s">
        <v>183</v>
      </c>
      <c r="J217" t="s">
        <v>183</v>
      </c>
    </row>
    <row r="218" spans="2:10" x14ac:dyDescent="0.3">
      <c r="B218">
        <v>201</v>
      </c>
      <c r="C218" s="55">
        <v>46457.407453017979</v>
      </c>
      <c r="D218">
        <v>12</v>
      </c>
      <c r="E218" s="55">
        <v>26616.601947681549</v>
      </c>
      <c r="F218">
        <v>12</v>
      </c>
      <c r="G218" t="s">
        <v>183</v>
      </c>
      <c r="H218" t="s">
        <v>183</v>
      </c>
      <c r="I218" t="s">
        <v>183</v>
      </c>
      <c r="J218" t="s">
        <v>183</v>
      </c>
    </row>
    <row r="219" spans="2:10" x14ac:dyDescent="0.3">
      <c r="B219">
        <v>202</v>
      </c>
      <c r="C219" s="55">
        <v>40372.25265268689</v>
      </c>
      <c r="D219">
        <v>12</v>
      </c>
      <c r="E219" s="55">
        <v>30427.944149773459</v>
      </c>
      <c r="F219">
        <v>12</v>
      </c>
      <c r="G219" t="s">
        <v>183</v>
      </c>
      <c r="H219" t="s">
        <v>183</v>
      </c>
      <c r="I219" t="s">
        <v>183</v>
      </c>
      <c r="J219" t="s">
        <v>183</v>
      </c>
    </row>
    <row r="220" spans="2:10" x14ac:dyDescent="0.3">
      <c r="B220">
        <v>203</v>
      </c>
      <c r="C220" s="55">
        <v>45764.05516045355</v>
      </c>
      <c r="D220">
        <v>12</v>
      </c>
      <c r="E220" s="55">
        <v>25566.121088747812</v>
      </c>
      <c r="F220">
        <v>12</v>
      </c>
      <c r="G220" t="s">
        <v>183</v>
      </c>
      <c r="H220" t="s">
        <v>183</v>
      </c>
      <c r="I220" t="s">
        <v>183</v>
      </c>
      <c r="J220" t="s">
        <v>183</v>
      </c>
    </row>
    <row r="221" spans="2:10" x14ac:dyDescent="0.3">
      <c r="B221">
        <v>204</v>
      </c>
      <c r="C221" s="55">
        <v>53083.871799730638</v>
      </c>
      <c r="D221">
        <v>12</v>
      </c>
      <c r="E221" s="55">
        <v>39127.267535330393</v>
      </c>
      <c r="F221">
        <v>12</v>
      </c>
      <c r="G221" t="s">
        <v>183</v>
      </c>
      <c r="H221" t="s">
        <v>183</v>
      </c>
      <c r="I221" t="s">
        <v>183</v>
      </c>
      <c r="J221" t="s">
        <v>183</v>
      </c>
    </row>
    <row r="222" spans="2:10" x14ac:dyDescent="0.3">
      <c r="B222">
        <v>205</v>
      </c>
      <c r="C222" s="55">
        <v>48132.504273124352</v>
      </c>
      <c r="D222">
        <v>12</v>
      </c>
      <c r="E222" s="55">
        <v>37289.205189818611</v>
      </c>
      <c r="F222">
        <v>12</v>
      </c>
      <c r="G222" t="s">
        <v>183</v>
      </c>
      <c r="H222" t="s">
        <v>183</v>
      </c>
      <c r="I222" t="s">
        <v>183</v>
      </c>
      <c r="J222" t="s">
        <v>183</v>
      </c>
    </row>
    <row r="223" spans="2:10" x14ac:dyDescent="0.3">
      <c r="B223">
        <v>206</v>
      </c>
      <c r="C223" s="55">
        <v>49599.154478604934</v>
      </c>
      <c r="D223">
        <v>12</v>
      </c>
      <c r="E223" s="55">
        <v>34141.010404105997</v>
      </c>
      <c r="F223">
        <v>12</v>
      </c>
      <c r="G223" t="s">
        <v>183</v>
      </c>
      <c r="H223" t="s">
        <v>183</v>
      </c>
      <c r="I223" t="s">
        <v>183</v>
      </c>
      <c r="J223" t="s">
        <v>183</v>
      </c>
    </row>
    <row r="224" spans="2:10" x14ac:dyDescent="0.3">
      <c r="B224">
        <v>207</v>
      </c>
      <c r="C224" s="55">
        <v>34417.450096441236</v>
      </c>
      <c r="D224">
        <v>12</v>
      </c>
      <c r="E224" s="55">
        <v>34498.33783890833</v>
      </c>
      <c r="F224">
        <v>12</v>
      </c>
      <c r="G224" t="s">
        <v>183</v>
      </c>
      <c r="H224" t="s">
        <v>183</v>
      </c>
      <c r="I224" t="s">
        <v>183</v>
      </c>
      <c r="J224" t="s">
        <v>183</v>
      </c>
    </row>
    <row r="225" spans="2:10" x14ac:dyDescent="0.3">
      <c r="B225">
        <v>208</v>
      </c>
      <c r="C225" s="55">
        <v>35924.371546635492</v>
      </c>
      <c r="D225">
        <v>10</v>
      </c>
      <c r="E225" s="55">
        <v>36723.686664705434</v>
      </c>
      <c r="F225">
        <v>10</v>
      </c>
      <c r="G225" t="s">
        <v>183</v>
      </c>
      <c r="H225" t="s">
        <v>183</v>
      </c>
      <c r="I225" t="s">
        <v>183</v>
      </c>
      <c r="J225" t="s">
        <v>183</v>
      </c>
    </row>
    <row r="226" spans="2:10" x14ac:dyDescent="0.3">
      <c r="B226">
        <v>209</v>
      </c>
      <c r="C226" s="55">
        <v>26792.082358480468</v>
      </c>
      <c r="D226">
        <v>9</v>
      </c>
      <c r="E226" s="55">
        <v>47718.085519267494</v>
      </c>
      <c r="F226">
        <v>12</v>
      </c>
      <c r="G226" t="s">
        <v>183</v>
      </c>
      <c r="H226" t="s">
        <v>183</v>
      </c>
      <c r="I226" t="s">
        <v>183</v>
      </c>
      <c r="J226" t="s">
        <v>183</v>
      </c>
    </row>
    <row r="227" spans="2:10" x14ac:dyDescent="0.3">
      <c r="B227">
        <v>210</v>
      </c>
      <c r="C227" s="55">
        <v>35470.817779807185</v>
      </c>
      <c r="D227">
        <v>12</v>
      </c>
      <c r="E227" s="55">
        <v>34386.068039967802</v>
      </c>
      <c r="F227">
        <v>8</v>
      </c>
      <c r="G227" t="s">
        <v>183</v>
      </c>
      <c r="H227" t="s">
        <v>183</v>
      </c>
      <c r="I227" t="s">
        <v>183</v>
      </c>
      <c r="J227" t="s">
        <v>183</v>
      </c>
    </row>
    <row r="228" spans="2:10" x14ac:dyDescent="0.3">
      <c r="B228">
        <v>211</v>
      </c>
      <c r="C228" s="55">
        <v>46654.751083890973</v>
      </c>
      <c r="D228">
        <v>12</v>
      </c>
      <c r="E228" s="55">
        <v>48339.350811315213</v>
      </c>
      <c r="F228">
        <v>12</v>
      </c>
      <c r="G228" t="s">
        <v>183</v>
      </c>
      <c r="H228" t="s">
        <v>183</v>
      </c>
      <c r="I228" t="s">
        <v>194</v>
      </c>
      <c r="J228" t="s">
        <v>183</v>
      </c>
    </row>
    <row r="229" spans="2:10" x14ac:dyDescent="0.3">
      <c r="B229">
        <v>212</v>
      </c>
      <c r="C229" s="55">
        <v>59342.242656079456</v>
      </c>
      <c r="D229">
        <v>12</v>
      </c>
      <c r="E229" s="55">
        <v>38913.112388236834</v>
      </c>
      <c r="F229">
        <v>12</v>
      </c>
      <c r="G229" t="s">
        <v>183</v>
      </c>
      <c r="H229" t="s">
        <v>183</v>
      </c>
      <c r="I229" t="s">
        <v>194</v>
      </c>
      <c r="J229" t="s">
        <v>183</v>
      </c>
    </row>
    <row r="230" spans="2:10" x14ac:dyDescent="0.3">
      <c r="B230">
        <v>213</v>
      </c>
      <c r="C230" s="55">
        <v>44760.456696663408</v>
      </c>
      <c r="D230">
        <v>12</v>
      </c>
      <c r="E230" s="55">
        <v>45807.522356874251</v>
      </c>
      <c r="F230">
        <v>12</v>
      </c>
      <c r="G230" t="s">
        <v>183</v>
      </c>
      <c r="H230" t="s">
        <v>183</v>
      </c>
      <c r="I230" t="s">
        <v>194</v>
      </c>
      <c r="J230" t="s">
        <v>183</v>
      </c>
    </row>
    <row r="231" spans="2:10" x14ac:dyDescent="0.3">
      <c r="B231">
        <v>214</v>
      </c>
      <c r="C231" s="55">
        <v>22473.799052568029</v>
      </c>
      <c r="D231">
        <v>12</v>
      </c>
      <c r="E231" s="55">
        <v>35546.95546714653</v>
      </c>
      <c r="F231">
        <v>12</v>
      </c>
      <c r="G231" t="s">
        <v>183</v>
      </c>
      <c r="H231" t="s">
        <v>183</v>
      </c>
      <c r="I231" t="s">
        <v>194</v>
      </c>
      <c r="J231" t="s">
        <v>183</v>
      </c>
    </row>
    <row r="232" spans="2:10" x14ac:dyDescent="0.3">
      <c r="B232">
        <v>215</v>
      </c>
      <c r="C232" s="55">
        <v>33821.019589362433</v>
      </c>
      <c r="D232">
        <v>12</v>
      </c>
      <c r="E232" s="55">
        <v>35184.150257095695</v>
      </c>
      <c r="F232">
        <v>12</v>
      </c>
      <c r="G232" t="s">
        <v>183</v>
      </c>
      <c r="H232" t="s">
        <v>183</v>
      </c>
      <c r="I232" t="s">
        <v>194</v>
      </c>
      <c r="J232" t="s">
        <v>183</v>
      </c>
    </row>
    <row r="233" spans="2:10" x14ac:dyDescent="0.3">
      <c r="B233">
        <v>216</v>
      </c>
      <c r="C233" s="55">
        <v>47369.406206647451</v>
      </c>
      <c r="D233">
        <v>12</v>
      </c>
      <c r="E233" s="55">
        <v>33391.757883725222</v>
      </c>
      <c r="F233">
        <v>12</v>
      </c>
      <c r="G233" t="s">
        <v>183</v>
      </c>
      <c r="H233" t="s">
        <v>183</v>
      </c>
      <c r="I233" t="s">
        <v>194</v>
      </c>
      <c r="J233" t="s">
        <v>183</v>
      </c>
    </row>
    <row r="234" spans="2:10" x14ac:dyDescent="0.3">
      <c r="B234">
        <v>217</v>
      </c>
      <c r="C234" s="55">
        <v>31594.915315696762</v>
      </c>
      <c r="D234">
        <v>12</v>
      </c>
      <c r="E234" s="55">
        <v>39721.192753447351</v>
      </c>
      <c r="F234">
        <v>12</v>
      </c>
      <c r="G234" t="s">
        <v>183</v>
      </c>
      <c r="H234" t="s">
        <v>183</v>
      </c>
      <c r="I234" t="s">
        <v>194</v>
      </c>
      <c r="J234" t="s">
        <v>183</v>
      </c>
    </row>
    <row r="235" spans="2:10" x14ac:dyDescent="0.3">
      <c r="B235">
        <v>218</v>
      </c>
      <c r="C235" s="55">
        <v>47935.526877373501</v>
      </c>
      <c r="D235">
        <v>12</v>
      </c>
      <c r="E235" s="55">
        <v>34263.258618683634</v>
      </c>
      <c r="F235">
        <v>12</v>
      </c>
      <c r="G235" t="s">
        <v>183</v>
      </c>
      <c r="H235" t="s">
        <v>183</v>
      </c>
      <c r="I235" t="s">
        <v>194</v>
      </c>
      <c r="J235" t="s">
        <v>183</v>
      </c>
    </row>
    <row r="236" spans="2:10" x14ac:dyDescent="0.3">
      <c r="B236">
        <v>219</v>
      </c>
      <c r="C236" s="55">
        <v>46172.472633447891</v>
      </c>
      <c r="D236">
        <v>12</v>
      </c>
      <c r="E236" s="55">
        <v>52298.284929617163</v>
      </c>
      <c r="F236">
        <v>12</v>
      </c>
      <c r="G236" t="s">
        <v>183</v>
      </c>
      <c r="H236" t="s">
        <v>183</v>
      </c>
      <c r="I236" t="s">
        <v>194</v>
      </c>
      <c r="J236" t="s">
        <v>183</v>
      </c>
    </row>
    <row r="237" spans="2:10" x14ac:dyDescent="0.3">
      <c r="B237">
        <v>220</v>
      </c>
      <c r="C237" s="55">
        <v>35240.036278941559</v>
      </c>
      <c r="D237">
        <v>12</v>
      </c>
      <c r="E237" s="55">
        <v>52201.719191569719</v>
      </c>
      <c r="F237">
        <v>12</v>
      </c>
      <c r="G237" t="s">
        <v>183</v>
      </c>
      <c r="H237" t="s">
        <v>183</v>
      </c>
      <c r="I237" t="s">
        <v>194</v>
      </c>
      <c r="J237" t="s">
        <v>183</v>
      </c>
    </row>
    <row r="238" spans="2:10" x14ac:dyDescent="0.3">
      <c r="B238">
        <v>221</v>
      </c>
      <c r="C238" s="55">
        <v>45490.206651204891</v>
      </c>
      <c r="D238">
        <v>12</v>
      </c>
      <c r="E238" s="55">
        <v>31822.285236692733</v>
      </c>
      <c r="F238">
        <v>12</v>
      </c>
      <c r="G238" t="s">
        <v>183</v>
      </c>
      <c r="H238" t="s">
        <v>183</v>
      </c>
      <c r="I238" t="s">
        <v>194</v>
      </c>
      <c r="J238" t="s">
        <v>183</v>
      </c>
    </row>
    <row r="239" spans="2:10" x14ac:dyDescent="0.3">
      <c r="B239">
        <v>222</v>
      </c>
      <c r="C239" s="55">
        <v>42105.365969263657</v>
      </c>
      <c r="D239">
        <v>10</v>
      </c>
      <c r="E239" s="55">
        <v>30877.51148075044</v>
      </c>
      <c r="F239">
        <v>10</v>
      </c>
      <c r="G239" t="s">
        <v>183</v>
      </c>
      <c r="H239" t="s">
        <v>183</v>
      </c>
      <c r="I239" t="s">
        <v>194</v>
      </c>
      <c r="J239" t="s">
        <v>183</v>
      </c>
    </row>
    <row r="240" spans="2:10" x14ac:dyDescent="0.3">
      <c r="B240">
        <v>223</v>
      </c>
      <c r="C240" s="55">
        <v>41060.944764197666</v>
      </c>
      <c r="D240">
        <v>10</v>
      </c>
      <c r="E240" s="55">
        <v>31155.107059076679</v>
      </c>
      <c r="F240">
        <v>9</v>
      </c>
      <c r="G240" t="s">
        <v>183</v>
      </c>
      <c r="H240" t="s">
        <v>183</v>
      </c>
      <c r="I240" t="s">
        <v>194</v>
      </c>
      <c r="J240" t="s">
        <v>183</v>
      </c>
    </row>
    <row r="241" spans="2:10" x14ac:dyDescent="0.3">
      <c r="B241">
        <v>224</v>
      </c>
      <c r="C241" s="55">
        <v>28887.309309071854</v>
      </c>
      <c r="D241">
        <v>10</v>
      </c>
      <c r="E241" s="55">
        <v>47101.918840494734</v>
      </c>
      <c r="F241">
        <v>12</v>
      </c>
      <c r="G241" t="s">
        <v>183</v>
      </c>
      <c r="H241" t="s">
        <v>183</v>
      </c>
      <c r="I241" t="s">
        <v>194</v>
      </c>
      <c r="J241" t="s">
        <v>183</v>
      </c>
    </row>
    <row r="242" spans="2:10" x14ac:dyDescent="0.3">
      <c r="B242">
        <v>225</v>
      </c>
      <c r="C242" s="55">
        <v>32358.054429985652</v>
      </c>
      <c r="D242">
        <v>8</v>
      </c>
      <c r="E242" s="55">
        <v>17307.727541528475</v>
      </c>
      <c r="F242">
        <v>6</v>
      </c>
      <c r="G242" t="s">
        <v>183</v>
      </c>
      <c r="H242" t="s">
        <v>183</v>
      </c>
      <c r="I242" t="s">
        <v>194</v>
      </c>
      <c r="J242" t="s">
        <v>183</v>
      </c>
    </row>
    <row r="243" spans="2:10" x14ac:dyDescent="0.3">
      <c r="B243">
        <v>226</v>
      </c>
      <c r="C243" s="55">
        <v>25586.1269417761</v>
      </c>
      <c r="D243">
        <v>8</v>
      </c>
      <c r="E243" s="55">
        <v>48995.6019025981</v>
      </c>
      <c r="F243">
        <v>12</v>
      </c>
      <c r="G243" t="s">
        <v>183</v>
      </c>
      <c r="H243" t="s">
        <v>183</v>
      </c>
      <c r="I243" t="s">
        <v>194</v>
      </c>
      <c r="J243" t="s">
        <v>183</v>
      </c>
    </row>
    <row r="244" spans="2:10" x14ac:dyDescent="0.3">
      <c r="B244">
        <v>227</v>
      </c>
      <c r="C244" s="55">
        <v>26460.766762171359</v>
      </c>
      <c r="D244">
        <v>8</v>
      </c>
      <c r="E244" s="55">
        <v>50694.616016898159</v>
      </c>
      <c r="F244">
        <v>12</v>
      </c>
      <c r="G244" t="s">
        <v>183</v>
      </c>
      <c r="H244" t="s">
        <v>183</v>
      </c>
      <c r="I244" t="s">
        <v>194</v>
      </c>
      <c r="J244" t="s">
        <v>183</v>
      </c>
    </row>
    <row r="245" spans="2:10" x14ac:dyDescent="0.3">
      <c r="B245">
        <v>228</v>
      </c>
      <c r="C245" s="55">
        <v>21493.569064392061</v>
      </c>
      <c r="D245">
        <v>9</v>
      </c>
      <c r="E245" s="55">
        <v>46370.467052555425</v>
      </c>
      <c r="F245">
        <v>12</v>
      </c>
      <c r="G245" t="s">
        <v>183</v>
      </c>
      <c r="H245" t="s">
        <v>183</v>
      </c>
      <c r="I245" t="s">
        <v>194</v>
      </c>
      <c r="J245" t="s">
        <v>183</v>
      </c>
    </row>
    <row r="246" spans="2:10" x14ac:dyDescent="0.3">
      <c r="B246">
        <v>229</v>
      </c>
      <c r="C246" s="55">
        <v>43915.154359067499</v>
      </c>
      <c r="D246">
        <v>11</v>
      </c>
      <c r="E246" s="55">
        <v>44976.482651302758</v>
      </c>
      <c r="F246">
        <v>12</v>
      </c>
      <c r="G246" t="s">
        <v>183</v>
      </c>
      <c r="H246" t="s">
        <v>183</v>
      </c>
      <c r="I246" t="s">
        <v>194</v>
      </c>
      <c r="J246" t="s">
        <v>183</v>
      </c>
    </row>
    <row r="247" spans="2:10" x14ac:dyDescent="0.3">
      <c r="B247">
        <v>230</v>
      </c>
      <c r="C247" s="55">
        <v>32837.504831241902</v>
      </c>
      <c r="D247">
        <v>11</v>
      </c>
      <c r="E247" s="55">
        <v>35480.769527983197</v>
      </c>
      <c r="F247">
        <v>8</v>
      </c>
      <c r="G247" t="s">
        <v>183</v>
      </c>
      <c r="H247" t="s">
        <v>183</v>
      </c>
      <c r="I247" t="s">
        <v>194</v>
      </c>
      <c r="J247" t="s">
        <v>183</v>
      </c>
    </row>
    <row r="248" spans="2:10" x14ac:dyDescent="0.3">
      <c r="B248">
        <v>231</v>
      </c>
      <c r="C248" s="55">
        <v>44784.829203288115</v>
      </c>
      <c r="D248">
        <v>12</v>
      </c>
      <c r="E248" s="55">
        <v>51539.208394630376</v>
      </c>
      <c r="F248">
        <v>12</v>
      </c>
      <c r="G248" t="s">
        <v>183</v>
      </c>
      <c r="H248" t="s">
        <v>183</v>
      </c>
      <c r="I248" t="s">
        <v>183</v>
      </c>
      <c r="J248" t="s">
        <v>194</v>
      </c>
    </row>
    <row r="249" spans="2:10" x14ac:dyDescent="0.3">
      <c r="B249">
        <v>232</v>
      </c>
      <c r="C249" s="55">
        <v>47249.12875876516</v>
      </c>
      <c r="D249">
        <v>12</v>
      </c>
      <c r="E249" s="55">
        <v>48789.455180400386</v>
      </c>
      <c r="F249">
        <v>12</v>
      </c>
      <c r="G249" t="s">
        <v>183</v>
      </c>
      <c r="H249" t="s">
        <v>183</v>
      </c>
      <c r="I249" t="s">
        <v>183</v>
      </c>
      <c r="J249" t="s">
        <v>194</v>
      </c>
    </row>
    <row r="250" spans="2:10" x14ac:dyDescent="0.3">
      <c r="B250">
        <v>233</v>
      </c>
      <c r="C250" s="55">
        <v>53838.145744066118</v>
      </c>
      <c r="D250">
        <v>12</v>
      </c>
      <c r="E250" s="55">
        <v>38416.367872325165</v>
      </c>
      <c r="F250">
        <v>12</v>
      </c>
      <c r="G250" t="s">
        <v>183</v>
      </c>
      <c r="H250" t="s">
        <v>183</v>
      </c>
      <c r="I250" t="s">
        <v>183</v>
      </c>
      <c r="J250" t="s">
        <v>194</v>
      </c>
    </row>
    <row r="251" spans="2:10" x14ac:dyDescent="0.3">
      <c r="B251">
        <v>234</v>
      </c>
      <c r="C251" s="55">
        <v>39008.495983317312</v>
      </c>
      <c r="D251">
        <v>12</v>
      </c>
      <c r="E251" s="55">
        <v>39443.192435082208</v>
      </c>
      <c r="F251">
        <v>12</v>
      </c>
      <c r="G251" t="s">
        <v>183</v>
      </c>
      <c r="H251" t="s">
        <v>183</v>
      </c>
      <c r="I251" t="s">
        <v>183</v>
      </c>
      <c r="J251" t="s">
        <v>194</v>
      </c>
    </row>
    <row r="252" spans="2:10" x14ac:dyDescent="0.3">
      <c r="B252">
        <v>235</v>
      </c>
      <c r="C252" s="55">
        <v>56239.962187376848</v>
      </c>
      <c r="D252">
        <v>12</v>
      </c>
      <c r="E252" s="55">
        <v>38784.316526925744</v>
      </c>
      <c r="F252">
        <v>12</v>
      </c>
      <c r="G252" t="s">
        <v>183</v>
      </c>
      <c r="H252" t="s">
        <v>183</v>
      </c>
      <c r="I252" t="s">
        <v>183</v>
      </c>
      <c r="J252" t="s">
        <v>194</v>
      </c>
    </row>
    <row r="253" spans="2:10" x14ac:dyDescent="0.3">
      <c r="B253">
        <v>236</v>
      </c>
      <c r="C253" s="55">
        <v>30652.509628933229</v>
      </c>
      <c r="D253">
        <v>12</v>
      </c>
      <c r="E253" s="55">
        <v>44218.92277282782</v>
      </c>
      <c r="F253">
        <v>12</v>
      </c>
      <c r="G253" t="s">
        <v>183</v>
      </c>
      <c r="H253" t="s">
        <v>183</v>
      </c>
      <c r="I253" t="s">
        <v>183</v>
      </c>
      <c r="J253" t="s">
        <v>194</v>
      </c>
    </row>
    <row r="254" spans="2:10" x14ac:dyDescent="0.3">
      <c r="B254">
        <v>237</v>
      </c>
      <c r="C254" s="55">
        <v>35888.291169882737</v>
      </c>
      <c r="D254">
        <v>12</v>
      </c>
      <c r="E254" s="55">
        <v>40492.766066833145</v>
      </c>
      <c r="F254">
        <v>12</v>
      </c>
      <c r="G254" t="s">
        <v>183</v>
      </c>
      <c r="H254" t="s">
        <v>183</v>
      </c>
      <c r="I254" t="s">
        <v>183</v>
      </c>
      <c r="J254" t="s">
        <v>194</v>
      </c>
    </row>
    <row r="255" spans="2:10" x14ac:dyDescent="0.3">
      <c r="B255">
        <v>238</v>
      </c>
      <c r="C255" s="55">
        <v>33041.090324379911</v>
      </c>
      <c r="D255">
        <v>12</v>
      </c>
      <c r="E255" s="55">
        <v>37270.044648701049</v>
      </c>
      <c r="F255">
        <v>12</v>
      </c>
      <c r="G255" t="s">
        <v>183</v>
      </c>
      <c r="H255" t="s">
        <v>183</v>
      </c>
      <c r="I255" t="s">
        <v>183</v>
      </c>
      <c r="J255" t="s">
        <v>194</v>
      </c>
    </row>
    <row r="256" spans="2:10" x14ac:dyDescent="0.3">
      <c r="B256">
        <v>239</v>
      </c>
      <c r="C256" s="55">
        <v>60986.464778886169</v>
      </c>
      <c r="D256">
        <v>12</v>
      </c>
      <c r="E256" s="55">
        <v>50392.416378781178</v>
      </c>
      <c r="F256">
        <v>12</v>
      </c>
      <c r="G256" t="s">
        <v>183</v>
      </c>
      <c r="H256" t="s">
        <v>183</v>
      </c>
      <c r="I256" t="s">
        <v>183</v>
      </c>
      <c r="J256" t="s">
        <v>194</v>
      </c>
    </row>
    <row r="257" spans="2:10" x14ac:dyDescent="0.3">
      <c r="B257">
        <v>240</v>
      </c>
      <c r="C257" s="55">
        <v>45926.830647107505</v>
      </c>
      <c r="D257">
        <v>12</v>
      </c>
      <c r="E257" s="55">
        <v>36740.865470171266</v>
      </c>
      <c r="F257">
        <v>12</v>
      </c>
      <c r="G257" t="s">
        <v>183</v>
      </c>
      <c r="H257" t="s">
        <v>183</v>
      </c>
      <c r="I257" t="s">
        <v>183</v>
      </c>
      <c r="J257" t="s">
        <v>194</v>
      </c>
    </row>
    <row r="258" spans="2:10" x14ac:dyDescent="0.3">
      <c r="B258">
        <v>241</v>
      </c>
      <c r="C258" s="55">
        <v>52149.651667823622</v>
      </c>
      <c r="D258">
        <v>12</v>
      </c>
      <c r="E258" s="55">
        <v>32697.72530877871</v>
      </c>
      <c r="F258">
        <v>12</v>
      </c>
      <c r="G258" t="s">
        <v>183</v>
      </c>
      <c r="H258" t="s">
        <v>183</v>
      </c>
      <c r="I258" t="s">
        <v>183</v>
      </c>
      <c r="J258" t="s">
        <v>194</v>
      </c>
    </row>
    <row r="259" spans="2:10" x14ac:dyDescent="0.3">
      <c r="B259">
        <v>242</v>
      </c>
      <c r="C259" s="55">
        <v>44589.861377945301</v>
      </c>
      <c r="D259">
        <v>12</v>
      </c>
      <c r="E259" s="55">
        <v>45263.370699535764</v>
      </c>
      <c r="F259">
        <v>12</v>
      </c>
      <c r="G259" t="s">
        <v>183</v>
      </c>
      <c r="H259" t="s">
        <v>183</v>
      </c>
      <c r="I259" t="s">
        <v>183</v>
      </c>
      <c r="J259" t="s">
        <v>194</v>
      </c>
    </row>
    <row r="260" spans="2:10" x14ac:dyDescent="0.3">
      <c r="B260">
        <v>243</v>
      </c>
      <c r="C260" s="55">
        <v>46439.197370541995</v>
      </c>
      <c r="D260">
        <v>12</v>
      </c>
      <c r="E260" s="55">
        <v>48531.908586816477</v>
      </c>
      <c r="F260">
        <v>12</v>
      </c>
      <c r="G260" t="s">
        <v>183</v>
      </c>
      <c r="H260" t="s">
        <v>183</v>
      </c>
      <c r="I260" t="s">
        <v>183</v>
      </c>
      <c r="J260" t="s">
        <v>194</v>
      </c>
    </row>
    <row r="261" spans="2:10" x14ac:dyDescent="0.3">
      <c r="B261">
        <v>244</v>
      </c>
      <c r="C261" s="55">
        <v>29762.193561361524</v>
      </c>
      <c r="D261">
        <v>10</v>
      </c>
      <c r="E261" s="55">
        <v>32142.003866965872</v>
      </c>
      <c r="F261">
        <v>12</v>
      </c>
      <c r="G261" t="s">
        <v>183</v>
      </c>
      <c r="H261" t="s">
        <v>183</v>
      </c>
      <c r="I261" t="s">
        <v>183</v>
      </c>
      <c r="J261" t="s">
        <v>194</v>
      </c>
    </row>
    <row r="262" spans="2:10" x14ac:dyDescent="0.3">
      <c r="B262">
        <v>245</v>
      </c>
      <c r="C262" s="55">
        <v>36182.550069136021</v>
      </c>
      <c r="D262">
        <v>10</v>
      </c>
      <c r="E262" s="55">
        <v>39961.621412595363</v>
      </c>
      <c r="F262">
        <v>11</v>
      </c>
      <c r="G262" t="s">
        <v>183</v>
      </c>
      <c r="H262" t="s">
        <v>183</v>
      </c>
      <c r="I262" t="s">
        <v>183</v>
      </c>
      <c r="J262" t="s">
        <v>194</v>
      </c>
    </row>
    <row r="263" spans="2:10" x14ac:dyDescent="0.3">
      <c r="B263">
        <v>246</v>
      </c>
      <c r="C263" s="55">
        <v>25423.516558206094</v>
      </c>
      <c r="D263">
        <v>8</v>
      </c>
      <c r="E263" s="55">
        <v>42519.306126938056</v>
      </c>
      <c r="F263">
        <v>12</v>
      </c>
      <c r="G263" t="s">
        <v>183</v>
      </c>
      <c r="H263" t="s">
        <v>183</v>
      </c>
      <c r="I263" t="s">
        <v>183</v>
      </c>
      <c r="J263" t="s">
        <v>194</v>
      </c>
    </row>
    <row r="264" spans="2:10" x14ac:dyDescent="0.3">
      <c r="B264">
        <v>247</v>
      </c>
      <c r="C264" s="55">
        <v>28297.949040520514</v>
      </c>
      <c r="D264">
        <v>8</v>
      </c>
      <c r="E264" s="55">
        <v>41984.676224182906</v>
      </c>
      <c r="F264">
        <v>12</v>
      </c>
      <c r="G264" t="s">
        <v>183</v>
      </c>
      <c r="H264" t="s">
        <v>183</v>
      </c>
      <c r="I264" t="s">
        <v>183</v>
      </c>
      <c r="J264" t="s">
        <v>194</v>
      </c>
    </row>
    <row r="265" spans="2:10" x14ac:dyDescent="0.3">
      <c r="B265">
        <v>248</v>
      </c>
      <c r="C265" s="55">
        <v>38036.891817502408</v>
      </c>
      <c r="D265">
        <v>9</v>
      </c>
      <c r="E265" s="55">
        <v>23819.645885276834</v>
      </c>
      <c r="F265">
        <v>8</v>
      </c>
      <c r="G265" t="s">
        <v>183</v>
      </c>
      <c r="H265" t="s">
        <v>183</v>
      </c>
      <c r="I265" t="s">
        <v>183</v>
      </c>
      <c r="J265" t="s">
        <v>194</v>
      </c>
    </row>
    <row r="266" spans="2:10" x14ac:dyDescent="0.3">
      <c r="B266">
        <v>249</v>
      </c>
      <c r="C266" s="55">
        <v>33374.509581343009</v>
      </c>
      <c r="D266">
        <v>9</v>
      </c>
      <c r="E266" s="55">
        <v>34843.54747661185</v>
      </c>
      <c r="F266">
        <v>9</v>
      </c>
      <c r="G266" t="s">
        <v>183</v>
      </c>
      <c r="H266" t="s">
        <v>183</v>
      </c>
      <c r="I266" t="s">
        <v>183</v>
      </c>
      <c r="J266" t="s">
        <v>194</v>
      </c>
    </row>
    <row r="267" spans="2:10" x14ac:dyDescent="0.3">
      <c r="B267">
        <v>250</v>
      </c>
      <c r="C267" s="55">
        <v>27776.057492410357</v>
      </c>
      <c r="D267">
        <v>11</v>
      </c>
      <c r="E267" s="55">
        <v>47482.138224712435</v>
      </c>
      <c r="F267">
        <v>12</v>
      </c>
      <c r="G267" t="s">
        <v>183</v>
      </c>
      <c r="H267" t="s">
        <v>183</v>
      </c>
      <c r="I267" t="s">
        <v>183</v>
      </c>
      <c r="J267" t="s">
        <v>194</v>
      </c>
    </row>
    <row r="268" spans="2:10" x14ac:dyDescent="0.3">
      <c r="B268">
        <v>251</v>
      </c>
      <c r="C268" s="55">
        <v>37933.721967878431</v>
      </c>
      <c r="D268">
        <v>12</v>
      </c>
      <c r="E268" s="55">
        <v>43415.438755414667</v>
      </c>
      <c r="F268">
        <v>12</v>
      </c>
      <c r="G268" t="s">
        <v>183</v>
      </c>
      <c r="H268" t="s">
        <v>194</v>
      </c>
      <c r="I268" t="s">
        <v>183</v>
      </c>
      <c r="J268" t="s">
        <v>183</v>
      </c>
    </row>
    <row r="269" spans="2:10" x14ac:dyDescent="0.3">
      <c r="B269">
        <v>252</v>
      </c>
      <c r="C269" s="55">
        <v>30014.418356705697</v>
      </c>
      <c r="D269">
        <v>12</v>
      </c>
      <c r="E269" s="55">
        <v>55935.876862845253</v>
      </c>
      <c r="F269">
        <v>12</v>
      </c>
      <c r="G269" t="s">
        <v>183</v>
      </c>
      <c r="H269" t="s">
        <v>194</v>
      </c>
      <c r="I269" t="s">
        <v>183</v>
      </c>
      <c r="J269" t="s">
        <v>183</v>
      </c>
    </row>
    <row r="270" spans="2:10" x14ac:dyDescent="0.3">
      <c r="B270">
        <v>253</v>
      </c>
      <c r="C270" s="55">
        <v>20807.60651690251</v>
      </c>
      <c r="D270">
        <v>12</v>
      </c>
      <c r="E270" s="55">
        <v>39136.051872582117</v>
      </c>
      <c r="F270">
        <v>12</v>
      </c>
      <c r="G270" t="s">
        <v>183</v>
      </c>
      <c r="H270" t="s">
        <v>194</v>
      </c>
      <c r="I270" t="s">
        <v>183</v>
      </c>
      <c r="J270" t="s">
        <v>183</v>
      </c>
    </row>
    <row r="271" spans="2:10" x14ac:dyDescent="0.3">
      <c r="B271">
        <v>254</v>
      </c>
      <c r="C271" s="55">
        <v>27797.512970407784</v>
      </c>
      <c r="D271">
        <v>12</v>
      </c>
      <c r="E271" s="55">
        <v>46395.209922284317</v>
      </c>
      <c r="F271">
        <v>12</v>
      </c>
      <c r="G271" t="s">
        <v>183</v>
      </c>
      <c r="H271" t="s">
        <v>194</v>
      </c>
      <c r="I271" t="s">
        <v>183</v>
      </c>
      <c r="J271" t="s">
        <v>183</v>
      </c>
    </row>
    <row r="272" spans="2:10" x14ac:dyDescent="0.3">
      <c r="B272">
        <v>255</v>
      </c>
      <c r="C272" s="55">
        <v>28841.045157753906</v>
      </c>
      <c r="D272">
        <v>12</v>
      </c>
      <c r="E272" s="55">
        <v>36793.774008811895</v>
      </c>
      <c r="F272">
        <v>12</v>
      </c>
      <c r="G272" t="s">
        <v>183</v>
      </c>
      <c r="H272" t="s">
        <v>194</v>
      </c>
      <c r="I272" t="s">
        <v>183</v>
      </c>
      <c r="J272" t="s">
        <v>183</v>
      </c>
    </row>
    <row r="273" spans="2:10" x14ac:dyDescent="0.3">
      <c r="B273">
        <v>256</v>
      </c>
      <c r="C273" s="55">
        <v>22980.411171180851</v>
      </c>
      <c r="D273">
        <v>12</v>
      </c>
      <c r="E273" s="55">
        <v>42388.5581379422</v>
      </c>
      <c r="F273">
        <v>12</v>
      </c>
      <c r="G273" t="s">
        <v>183</v>
      </c>
      <c r="H273" t="s">
        <v>194</v>
      </c>
      <c r="I273" t="s">
        <v>183</v>
      </c>
      <c r="J273" t="s">
        <v>183</v>
      </c>
    </row>
    <row r="274" spans="2:10" x14ac:dyDescent="0.3">
      <c r="B274">
        <v>257</v>
      </c>
      <c r="C274" s="55">
        <v>36665.875081808641</v>
      </c>
      <c r="D274">
        <v>12</v>
      </c>
      <c r="E274" s="55">
        <v>37480.149058419243</v>
      </c>
      <c r="F274">
        <v>12</v>
      </c>
      <c r="G274" t="s">
        <v>183</v>
      </c>
      <c r="H274" t="s">
        <v>194</v>
      </c>
      <c r="I274" t="s">
        <v>183</v>
      </c>
      <c r="J274" t="s">
        <v>183</v>
      </c>
    </row>
    <row r="275" spans="2:10" x14ac:dyDescent="0.3">
      <c r="B275">
        <v>258</v>
      </c>
      <c r="C275" s="55">
        <v>31095.682655098717</v>
      </c>
      <c r="D275">
        <v>8</v>
      </c>
      <c r="E275" s="55">
        <v>33128.296515601782</v>
      </c>
      <c r="F275">
        <v>12</v>
      </c>
      <c r="G275" t="s">
        <v>183</v>
      </c>
      <c r="H275" t="s">
        <v>194</v>
      </c>
      <c r="I275" t="s">
        <v>183</v>
      </c>
      <c r="J275" t="s">
        <v>183</v>
      </c>
    </row>
    <row r="276" spans="2:10" x14ac:dyDescent="0.3">
      <c r="B276">
        <v>259</v>
      </c>
      <c r="C276" s="55">
        <v>14669.252960572732</v>
      </c>
      <c r="D276">
        <v>6</v>
      </c>
      <c r="E276" s="55">
        <v>42444.883378456296</v>
      </c>
      <c r="F276">
        <v>12</v>
      </c>
      <c r="G276" t="s">
        <v>183</v>
      </c>
      <c r="H276" t="s">
        <v>194</v>
      </c>
      <c r="I276" t="s">
        <v>183</v>
      </c>
      <c r="J276" t="s">
        <v>183</v>
      </c>
    </row>
    <row r="277" spans="2:10" x14ac:dyDescent="0.3">
      <c r="B277">
        <v>260</v>
      </c>
      <c r="C277" s="55">
        <v>27815.077216016696</v>
      </c>
      <c r="D277">
        <v>10</v>
      </c>
      <c r="E277" s="55">
        <v>31109.146943550841</v>
      </c>
      <c r="F277">
        <v>9</v>
      </c>
      <c r="G277" t="s">
        <v>183</v>
      </c>
      <c r="H277" t="s">
        <v>194</v>
      </c>
      <c r="I277" t="s">
        <v>183</v>
      </c>
      <c r="J277" t="s">
        <v>183</v>
      </c>
    </row>
    <row r="278" spans="2:10" x14ac:dyDescent="0.3">
      <c r="B278">
        <v>261</v>
      </c>
      <c r="C278" s="55">
        <v>45848.559200872201</v>
      </c>
      <c r="D278">
        <v>12</v>
      </c>
      <c r="E278" s="55">
        <v>54614.764914830768</v>
      </c>
      <c r="F278">
        <v>12</v>
      </c>
      <c r="G278" t="s">
        <v>194</v>
      </c>
      <c r="H278" t="s">
        <v>183</v>
      </c>
      <c r="I278" t="s">
        <v>183</v>
      </c>
      <c r="J278" t="s">
        <v>183</v>
      </c>
    </row>
    <row r="279" spans="2:10" x14ac:dyDescent="0.3">
      <c r="B279">
        <v>262</v>
      </c>
      <c r="C279" s="55">
        <v>33126.8032187192</v>
      </c>
      <c r="D279">
        <v>12</v>
      </c>
      <c r="E279" s="55">
        <v>44142.274351804597</v>
      </c>
      <c r="F279">
        <v>12</v>
      </c>
      <c r="G279" t="s">
        <v>194</v>
      </c>
      <c r="H279" t="s">
        <v>183</v>
      </c>
      <c r="I279" t="s">
        <v>183</v>
      </c>
      <c r="J279" t="s">
        <v>183</v>
      </c>
    </row>
    <row r="280" spans="2:10" x14ac:dyDescent="0.3">
      <c r="B280">
        <v>263</v>
      </c>
      <c r="C280" s="55">
        <v>38781.551976799892</v>
      </c>
      <c r="D280">
        <v>12</v>
      </c>
      <c r="E280" s="55">
        <v>41362.02815492409</v>
      </c>
      <c r="F280">
        <v>12</v>
      </c>
      <c r="G280" t="s">
        <v>194</v>
      </c>
      <c r="H280" t="s">
        <v>183</v>
      </c>
      <c r="I280" t="s">
        <v>183</v>
      </c>
      <c r="J280" t="s">
        <v>183</v>
      </c>
    </row>
    <row r="281" spans="2:10" x14ac:dyDescent="0.3">
      <c r="B281">
        <v>264</v>
      </c>
      <c r="C281" s="55">
        <v>31971.455526125814</v>
      </c>
      <c r="D281">
        <v>12</v>
      </c>
      <c r="E281" s="55">
        <v>56436.096487508556</v>
      </c>
      <c r="F281">
        <v>12</v>
      </c>
      <c r="G281" t="s">
        <v>194</v>
      </c>
      <c r="H281" t="s">
        <v>183</v>
      </c>
      <c r="I281" t="s">
        <v>183</v>
      </c>
      <c r="J281" t="s">
        <v>183</v>
      </c>
    </row>
    <row r="282" spans="2:10" x14ac:dyDescent="0.3">
      <c r="B282">
        <v>265</v>
      </c>
      <c r="C282" s="55">
        <v>43418.398977711367</v>
      </c>
      <c r="D282">
        <v>11</v>
      </c>
      <c r="E282" s="55">
        <v>40847.786194225453</v>
      </c>
      <c r="F282">
        <v>12</v>
      </c>
      <c r="G282" t="s">
        <v>194</v>
      </c>
      <c r="H282" t="s">
        <v>183</v>
      </c>
      <c r="I282" t="s">
        <v>183</v>
      </c>
      <c r="J282" t="s">
        <v>183</v>
      </c>
    </row>
    <row r="283" spans="2:10" x14ac:dyDescent="0.3">
      <c r="B283">
        <v>266</v>
      </c>
      <c r="C283" s="55">
        <v>38399.343264800256</v>
      </c>
      <c r="D283">
        <v>11</v>
      </c>
      <c r="E283" s="55">
        <v>36111.815432155585</v>
      </c>
      <c r="F283">
        <v>12</v>
      </c>
      <c r="G283" t="s">
        <v>194</v>
      </c>
      <c r="H283" t="s">
        <v>183</v>
      </c>
      <c r="I283" t="s">
        <v>183</v>
      </c>
      <c r="J283" t="s">
        <v>183</v>
      </c>
    </row>
    <row r="284" spans="2:10" x14ac:dyDescent="0.3">
      <c r="B284">
        <v>267</v>
      </c>
      <c r="C284" s="55">
        <v>27619.306486176123</v>
      </c>
      <c r="D284">
        <v>12</v>
      </c>
      <c r="E284" s="55">
        <v>32991.388191788603</v>
      </c>
      <c r="F284">
        <v>12</v>
      </c>
      <c r="G284" t="s">
        <v>194</v>
      </c>
      <c r="H284" t="s">
        <v>183</v>
      </c>
      <c r="I284" t="s">
        <v>183</v>
      </c>
      <c r="J284" t="s">
        <v>183</v>
      </c>
    </row>
    <row r="285" spans="2:10" x14ac:dyDescent="0.3">
      <c r="B285">
        <v>268</v>
      </c>
      <c r="C285" s="55">
        <v>24353.609701910944</v>
      </c>
      <c r="D285">
        <v>12</v>
      </c>
      <c r="E285" s="55">
        <v>31635.080285410637</v>
      </c>
      <c r="F285">
        <v>12</v>
      </c>
      <c r="G285" t="s">
        <v>194</v>
      </c>
      <c r="H285" t="s">
        <v>183</v>
      </c>
      <c r="I285" t="s">
        <v>183</v>
      </c>
      <c r="J285" t="s">
        <v>183</v>
      </c>
    </row>
    <row r="286" spans="2:10" x14ac:dyDescent="0.3">
      <c r="B286">
        <v>269</v>
      </c>
      <c r="C286" s="55">
        <v>37419.578431463044</v>
      </c>
      <c r="D286">
        <v>12</v>
      </c>
      <c r="E286" s="55">
        <v>27265.699329977004</v>
      </c>
      <c r="F286">
        <v>12</v>
      </c>
      <c r="G286" t="s">
        <v>194</v>
      </c>
      <c r="H286" t="s">
        <v>183</v>
      </c>
      <c r="I286" t="s">
        <v>183</v>
      </c>
      <c r="J286" t="s">
        <v>183</v>
      </c>
    </row>
    <row r="287" spans="2:10" x14ac:dyDescent="0.3">
      <c r="B287">
        <v>270</v>
      </c>
      <c r="C287" s="55">
        <v>41252.542971758332</v>
      </c>
      <c r="D287">
        <v>12</v>
      </c>
      <c r="E287" s="55">
        <v>25505.806111161517</v>
      </c>
      <c r="F287">
        <v>12</v>
      </c>
      <c r="G287" t="s">
        <v>194</v>
      </c>
      <c r="H287" t="s">
        <v>183</v>
      </c>
      <c r="I287" t="s">
        <v>183</v>
      </c>
      <c r="J287" t="s">
        <v>183</v>
      </c>
    </row>
    <row r="288" spans="2:10" x14ac:dyDescent="0.3">
      <c r="B288">
        <v>271</v>
      </c>
      <c r="C288" s="55">
        <v>34863.442798483302</v>
      </c>
      <c r="D288">
        <v>10</v>
      </c>
      <c r="E288" s="55">
        <v>25147.634923537778</v>
      </c>
      <c r="F288">
        <v>6</v>
      </c>
      <c r="G288" t="s">
        <v>194</v>
      </c>
      <c r="H288" t="s">
        <v>183</v>
      </c>
      <c r="I288" t="s">
        <v>183</v>
      </c>
      <c r="J288" t="s">
        <v>183</v>
      </c>
    </row>
    <row r="289" spans="2:10" x14ac:dyDescent="0.3">
      <c r="B289">
        <v>272</v>
      </c>
      <c r="C289" s="55">
        <v>31589.482414069716</v>
      </c>
      <c r="D289">
        <v>10</v>
      </c>
      <c r="E289" s="55">
        <v>37752.160545294442</v>
      </c>
      <c r="F289">
        <v>12</v>
      </c>
      <c r="G289" t="s">
        <v>194</v>
      </c>
      <c r="H289" t="s">
        <v>183</v>
      </c>
      <c r="I289" t="s">
        <v>183</v>
      </c>
      <c r="J289" t="s">
        <v>183</v>
      </c>
    </row>
    <row r="290" spans="2:10" x14ac:dyDescent="0.3">
      <c r="B290">
        <v>273</v>
      </c>
      <c r="C290" s="55">
        <v>35013.826555105625</v>
      </c>
      <c r="D290">
        <v>8</v>
      </c>
      <c r="E290" s="55">
        <v>41322.739831867257</v>
      </c>
      <c r="F290">
        <v>12</v>
      </c>
      <c r="G290" t="s">
        <v>194</v>
      </c>
      <c r="H290" t="s">
        <v>183</v>
      </c>
      <c r="I290" t="s">
        <v>183</v>
      </c>
      <c r="J290" t="s">
        <v>183</v>
      </c>
    </row>
    <row r="291" spans="2:10" x14ac:dyDescent="0.3">
      <c r="B291">
        <v>274</v>
      </c>
      <c r="C291" s="55">
        <v>24012.649709409925</v>
      </c>
      <c r="D291">
        <v>8</v>
      </c>
      <c r="E291" s="55">
        <v>27119.530599377631</v>
      </c>
      <c r="F291">
        <v>8</v>
      </c>
      <c r="G291" t="s">
        <v>194</v>
      </c>
      <c r="H291" t="s">
        <v>183</v>
      </c>
      <c r="I291" t="s">
        <v>183</v>
      </c>
      <c r="J291" t="s">
        <v>183</v>
      </c>
    </row>
    <row r="292" spans="2:10" x14ac:dyDescent="0.3">
      <c r="B292">
        <v>275</v>
      </c>
      <c r="C292" s="55">
        <v>38761.609939662776</v>
      </c>
      <c r="D292">
        <v>11</v>
      </c>
      <c r="E292" s="55">
        <v>48640.30375577174</v>
      </c>
      <c r="F292">
        <v>12</v>
      </c>
      <c r="G292" t="s">
        <v>194</v>
      </c>
      <c r="H292" t="s">
        <v>183</v>
      </c>
      <c r="I292" t="s">
        <v>183</v>
      </c>
      <c r="J292" t="s">
        <v>183</v>
      </c>
    </row>
    <row r="293" spans="2:10" x14ac:dyDescent="0.3">
      <c r="B293">
        <v>276</v>
      </c>
      <c r="C293" s="55">
        <v>29702.541858078428</v>
      </c>
      <c r="D293">
        <v>12</v>
      </c>
      <c r="E293" s="55">
        <v>44035.90770740615</v>
      </c>
      <c r="F293">
        <v>12</v>
      </c>
      <c r="G293" t="s">
        <v>183</v>
      </c>
      <c r="H293" t="s">
        <v>194</v>
      </c>
      <c r="I293" t="s">
        <v>183</v>
      </c>
      <c r="J293" t="s">
        <v>194</v>
      </c>
    </row>
    <row r="294" spans="2:10" x14ac:dyDescent="0.3">
      <c r="B294">
        <v>277</v>
      </c>
      <c r="C294" s="55">
        <v>26354.708142212701</v>
      </c>
      <c r="D294">
        <v>12</v>
      </c>
      <c r="E294" s="55">
        <v>39922.394857323437</v>
      </c>
      <c r="F294">
        <v>12</v>
      </c>
      <c r="G294" t="s">
        <v>183</v>
      </c>
      <c r="H294" t="s">
        <v>194</v>
      </c>
      <c r="I294" t="s">
        <v>183</v>
      </c>
      <c r="J294" t="s">
        <v>194</v>
      </c>
    </row>
    <row r="295" spans="2:10" x14ac:dyDescent="0.3">
      <c r="B295">
        <v>278</v>
      </c>
      <c r="C295" s="55">
        <v>22149.321985158611</v>
      </c>
      <c r="D295">
        <v>12</v>
      </c>
      <c r="E295" s="55">
        <v>46384.550625082855</v>
      </c>
      <c r="F295">
        <v>12</v>
      </c>
      <c r="G295" t="s">
        <v>183</v>
      </c>
      <c r="H295" t="s">
        <v>194</v>
      </c>
      <c r="I295" t="s">
        <v>183</v>
      </c>
      <c r="J295" t="s">
        <v>194</v>
      </c>
    </row>
    <row r="296" spans="2:10" x14ac:dyDescent="0.3">
      <c r="B296">
        <v>279</v>
      </c>
      <c r="C296" s="55">
        <v>25452.799077698306</v>
      </c>
      <c r="D296">
        <v>12</v>
      </c>
      <c r="E296" s="55">
        <v>24100.065679079315</v>
      </c>
      <c r="F296">
        <v>12</v>
      </c>
      <c r="G296" t="s">
        <v>183</v>
      </c>
      <c r="H296" t="s">
        <v>194</v>
      </c>
      <c r="I296" t="s">
        <v>183</v>
      </c>
      <c r="J296" t="s">
        <v>194</v>
      </c>
    </row>
    <row r="297" spans="2:10" x14ac:dyDescent="0.3">
      <c r="B297">
        <v>280</v>
      </c>
      <c r="C297" s="55">
        <v>17718.589274706963</v>
      </c>
      <c r="D297">
        <v>12</v>
      </c>
      <c r="E297" s="55">
        <v>45060.555784069598</v>
      </c>
      <c r="F297">
        <v>12</v>
      </c>
      <c r="G297" t="s">
        <v>183</v>
      </c>
      <c r="H297" t="s">
        <v>194</v>
      </c>
      <c r="I297" t="s">
        <v>183</v>
      </c>
      <c r="J297" t="s">
        <v>194</v>
      </c>
    </row>
    <row r="298" spans="2:10" x14ac:dyDescent="0.3">
      <c r="B298">
        <v>281</v>
      </c>
      <c r="C298" s="55">
        <v>20783.34997944424</v>
      </c>
      <c r="D298">
        <v>12</v>
      </c>
      <c r="E298" s="55">
        <v>54907.258891466132</v>
      </c>
      <c r="F298">
        <v>12</v>
      </c>
      <c r="G298" t="s">
        <v>183</v>
      </c>
      <c r="H298" t="s">
        <v>194</v>
      </c>
      <c r="I298" t="s">
        <v>183</v>
      </c>
      <c r="J298" t="s">
        <v>194</v>
      </c>
    </row>
    <row r="299" spans="2:10" x14ac:dyDescent="0.3">
      <c r="B299">
        <v>282</v>
      </c>
      <c r="C299" s="55">
        <v>36588.644242975963</v>
      </c>
      <c r="D299">
        <v>12</v>
      </c>
      <c r="E299" s="55">
        <v>24416.199384727246</v>
      </c>
      <c r="F299">
        <v>12</v>
      </c>
      <c r="G299" t="s">
        <v>183</v>
      </c>
      <c r="H299" t="s">
        <v>194</v>
      </c>
      <c r="I299" t="s">
        <v>183</v>
      </c>
      <c r="J299" t="s">
        <v>194</v>
      </c>
    </row>
    <row r="300" spans="2:10" x14ac:dyDescent="0.3">
      <c r="B300">
        <v>283</v>
      </c>
      <c r="C300" s="55">
        <v>36847.744546749404</v>
      </c>
      <c r="D300">
        <v>10</v>
      </c>
      <c r="E300" s="55">
        <v>37661.567861387361</v>
      </c>
      <c r="F300">
        <v>12</v>
      </c>
      <c r="G300" t="s">
        <v>183</v>
      </c>
      <c r="H300" t="s">
        <v>194</v>
      </c>
      <c r="I300" t="s">
        <v>183</v>
      </c>
      <c r="J300" t="s">
        <v>194</v>
      </c>
    </row>
    <row r="301" spans="2:10" x14ac:dyDescent="0.3">
      <c r="B301">
        <v>284</v>
      </c>
      <c r="C301" s="55">
        <v>18970.512216780873</v>
      </c>
      <c r="D301">
        <v>9</v>
      </c>
      <c r="E301" s="55">
        <v>24279.921107135458</v>
      </c>
      <c r="F301">
        <v>9</v>
      </c>
      <c r="G301" t="s">
        <v>183</v>
      </c>
      <c r="H301" t="s">
        <v>194</v>
      </c>
      <c r="I301" t="s">
        <v>183</v>
      </c>
      <c r="J301" t="s">
        <v>194</v>
      </c>
    </row>
    <row r="302" spans="2:10" x14ac:dyDescent="0.3">
      <c r="B302">
        <v>285</v>
      </c>
      <c r="C302" s="55">
        <v>33125.640901202496</v>
      </c>
      <c r="D302">
        <v>12</v>
      </c>
      <c r="E302" s="55">
        <v>46523.975272077667</v>
      </c>
      <c r="F302">
        <v>12</v>
      </c>
      <c r="G302" t="s">
        <v>194</v>
      </c>
      <c r="H302" t="s">
        <v>183</v>
      </c>
      <c r="I302" t="s">
        <v>194</v>
      </c>
      <c r="J302" t="s">
        <v>183</v>
      </c>
    </row>
    <row r="303" spans="2:10" x14ac:dyDescent="0.3">
      <c r="B303">
        <v>286</v>
      </c>
      <c r="C303" s="55">
        <v>41837.936035795654</v>
      </c>
      <c r="D303">
        <v>12</v>
      </c>
      <c r="E303" s="55">
        <v>48093.952181437984</v>
      </c>
      <c r="F303">
        <v>12</v>
      </c>
      <c r="G303" t="s">
        <v>194</v>
      </c>
      <c r="H303" t="s">
        <v>183</v>
      </c>
      <c r="I303" t="s">
        <v>194</v>
      </c>
      <c r="J303" t="s">
        <v>183</v>
      </c>
    </row>
    <row r="304" spans="2:10" x14ac:dyDescent="0.3">
      <c r="B304">
        <v>287</v>
      </c>
      <c r="C304" s="55">
        <v>30491.922074092945</v>
      </c>
      <c r="D304">
        <v>12</v>
      </c>
      <c r="E304" s="55">
        <v>38669.747953887971</v>
      </c>
      <c r="F304">
        <v>12</v>
      </c>
      <c r="G304" t="s">
        <v>194</v>
      </c>
      <c r="H304" t="s">
        <v>183</v>
      </c>
      <c r="I304" t="s">
        <v>194</v>
      </c>
      <c r="J304" t="s">
        <v>183</v>
      </c>
    </row>
    <row r="305" spans="2:10" x14ac:dyDescent="0.3">
      <c r="B305">
        <v>288</v>
      </c>
      <c r="C305" s="55">
        <v>49312.741160985119</v>
      </c>
      <c r="D305">
        <v>12</v>
      </c>
      <c r="E305" s="55">
        <v>42074.55958064436</v>
      </c>
      <c r="F305">
        <v>12</v>
      </c>
      <c r="G305" t="s">
        <v>194</v>
      </c>
      <c r="H305" t="s">
        <v>183</v>
      </c>
      <c r="I305" t="s">
        <v>194</v>
      </c>
      <c r="J305" t="s">
        <v>183</v>
      </c>
    </row>
    <row r="306" spans="2:10" x14ac:dyDescent="0.3">
      <c r="B306">
        <v>289</v>
      </c>
      <c r="C306" s="55">
        <v>48770.567214130853</v>
      </c>
      <c r="D306">
        <v>12</v>
      </c>
      <c r="E306" s="55">
        <v>43571.679871427878</v>
      </c>
      <c r="F306">
        <v>12</v>
      </c>
      <c r="G306" t="s">
        <v>194</v>
      </c>
      <c r="H306" t="s">
        <v>183</v>
      </c>
      <c r="I306" t="s">
        <v>194</v>
      </c>
      <c r="J306" t="s">
        <v>183</v>
      </c>
    </row>
    <row r="307" spans="2:10" x14ac:dyDescent="0.3">
      <c r="B307">
        <v>290</v>
      </c>
      <c r="C307" s="55">
        <v>49881.297752559491</v>
      </c>
      <c r="D307">
        <v>12</v>
      </c>
      <c r="E307" s="55">
        <v>35320.732728113231</v>
      </c>
      <c r="F307">
        <v>12</v>
      </c>
      <c r="G307" t="s">
        <v>194</v>
      </c>
      <c r="H307" t="s">
        <v>183</v>
      </c>
      <c r="I307" t="s">
        <v>194</v>
      </c>
      <c r="J307" t="s">
        <v>183</v>
      </c>
    </row>
    <row r="308" spans="2:10" x14ac:dyDescent="0.3">
      <c r="B308">
        <v>291</v>
      </c>
      <c r="C308" s="55">
        <v>30469.842034461428</v>
      </c>
      <c r="D308">
        <v>12</v>
      </c>
      <c r="E308" s="55">
        <v>42549.298950255994</v>
      </c>
      <c r="F308">
        <v>12</v>
      </c>
      <c r="G308" t="s">
        <v>194</v>
      </c>
      <c r="H308" t="s">
        <v>183</v>
      </c>
      <c r="I308" t="s">
        <v>194</v>
      </c>
      <c r="J308" t="s">
        <v>183</v>
      </c>
    </row>
    <row r="309" spans="2:10" x14ac:dyDescent="0.3">
      <c r="B309">
        <v>292</v>
      </c>
      <c r="C309" s="55">
        <v>47274.566409395062</v>
      </c>
      <c r="D309">
        <v>12</v>
      </c>
      <c r="E309" s="55">
        <v>42690.638928115863</v>
      </c>
      <c r="F309">
        <v>12</v>
      </c>
      <c r="G309" t="s">
        <v>194</v>
      </c>
      <c r="H309" t="s">
        <v>183</v>
      </c>
      <c r="I309" t="s">
        <v>194</v>
      </c>
      <c r="J309" t="s">
        <v>183</v>
      </c>
    </row>
    <row r="310" spans="2:10" x14ac:dyDescent="0.3">
      <c r="B310">
        <v>293</v>
      </c>
      <c r="C310" s="55">
        <v>38046.319402406305</v>
      </c>
      <c r="D310">
        <v>12</v>
      </c>
      <c r="E310" s="55">
        <v>46996.628505465182</v>
      </c>
      <c r="F310">
        <v>12</v>
      </c>
      <c r="G310" t="s">
        <v>194</v>
      </c>
      <c r="H310" t="s">
        <v>183</v>
      </c>
      <c r="I310" t="s">
        <v>194</v>
      </c>
      <c r="J310" t="s">
        <v>183</v>
      </c>
    </row>
    <row r="311" spans="2:10" x14ac:dyDescent="0.3">
      <c r="B311">
        <v>294</v>
      </c>
      <c r="C311" s="55">
        <v>45578.07733666744</v>
      </c>
      <c r="D311">
        <v>12</v>
      </c>
      <c r="E311" s="55">
        <v>38248.093955055912</v>
      </c>
      <c r="F311">
        <v>12</v>
      </c>
      <c r="G311" t="s">
        <v>194</v>
      </c>
      <c r="H311" t="s">
        <v>183</v>
      </c>
      <c r="I311" t="s">
        <v>194</v>
      </c>
      <c r="J311" t="s">
        <v>183</v>
      </c>
    </row>
    <row r="312" spans="2:10" x14ac:dyDescent="0.3">
      <c r="B312">
        <v>295</v>
      </c>
      <c r="C312" s="55">
        <v>34975.921947925082</v>
      </c>
      <c r="D312">
        <v>12</v>
      </c>
      <c r="E312" s="55">
        <v>42706.43204384308</v>
      </c>
      <c r="F312">
        <v>12</v>
      </c>
      <c r="G312" t="s">
        <v>194</v>
      </c>
      <c r="H312" t="s">
        <v>183</v>
      </c>
      <c r="I312" t="s">
        <v>194</v>
      </c>
      <c r="J312" t="s">
        <v>183</v>
      </c>
    </row>
    <row r="313" spans="2:10" x14ac:dyDescent="0.3">
      <c r="B313">
        <v>296</v>
      </c>
      <c r="C313" s="55">
        <v>45782.685071287291</v>
      </c>
      <c r="D313">
        <v>12</v>
      </c>
      <c r="E313" s="55">
        <v>41946.725882047336</v>
      </c>
      <c r="F313">
        <v>12</v>
      </c>
      <c r="G313" t="s">
        <v>194</v>
      </c>
      <c r="H313" t="s">
        <v>183</v>
      </c>
      <c r="I313" t="s">
        <v>194</v>
      </c>
      <c r="J313" t="s">
        <v>183</v>
      </c>
    </row>
    <row r="314" spans="2:10" x14ac:dyDescent="0.3">
      <c r="B314">
        <v>297</v>
      </c>
      <c r="C314" s="55">
        <v>28484.425316477387</v>
      </c>
      <c r="D314">
        <v>10</v>
      </c>
      <c r="E314" s="55">
        <v>31274.779663882808</v>
      </c>
      <c r="F314">
        <v>8</v>
      </c>
      <c r="G314" t="s">
        <v>194</v>
      </c>
      <c r="H314" t="s">
        <v>183</v>
      </c>
      <c r="I314" t="s">
        <v>194</v>
      </c>
      <c r="J314" t="s">
        <v>183</v>
      </c>
    </row>
    <row r="315" spans="2:10" x14ac:dyDescent="0.3">
      <c r="B315">
        <v>298</v>
      </c>
      <c r="C315" s="55">
        <v>35014.461172404444</v>
      </c>
      <c r="D315">
        <v>10</v>
      </c>
      <c r="E315" s="55">
        <v>43572.864702612991</v>
      </c>
      <c r="F315">
        <v>10</v>
      </c>
      <c r="G315" t="s">
        <v>194</v>
      </c>
      <c r="H315" t="s">
        <v>183</v>
      </c>
      <c r="I315" t="s">
        <v>194</v>
      </c>
      <c r="J315" t="s">
        <v>183</v>
      </c>
    </row>
    <row r="316" spans="2:10" x14ac:dyDescent="0.3">
      <c r="B316">
        <v>299</v>
      </c>
      <c r="C316" s="55">
        <v>33640.194505115585</v>
      </c>
      <c r="D316">
        <v>9</v>
      </c>
      <c r="E316" s="55">
        <v>31048.789434026643</v>
      </c>
      <c r="F316">
        <v>9</v>
      </c>
      <c r="G316" t="s">
        <v>194</v>
      </c>
      <c r="H316" t="s">
        <v>183</v>
      </c>
      <c r="I316" t="s">
        <v>194</v>
      </c>
      <c r="J316" t="s">
        <v>183</v>
      </c>
    </row>
    <row r="317" spans="2:10" x14ac:dyDescent="0.3">
      <c r="B317">
        <v>300</v>
      </c>
      <c r="C317" s="55">
        <v>11524.892260033275</v>
      </c>
      <c r="D317">
        <v>8</v>
      </c>
      <c r="E317" s="55">
        <v>33324.939537827595</v>
      </c>
      <c r="F317">
        <v>9</v>
      </c>
      <c r="G317" t="s">
        <v>194</v>
      </c>
      <c r="H317" t="s">
        <v>183</v>
      </c>
      <c r="I317" t="s">
        <v>194</v>
      </c>
      <c r="J317" t="s">
        <v>183</v>
      </c>
    </row>
  </sheetData>
  <autoFilter ref="B17:J317" xr:uid="{DA95E224-9F0F-4E63-82AF-C7B351203947}"/>
  <mergeCells count="5">
    <mergeCell ref="B7:E7"/>
    <mergeCell ref="B15:J15"/>
    <mergeCell ref="L15:P15"/>
    <mergeCell ref="L18:M18"/>
    <mergeCell ref="L26:M26"/>
  </mergeCells>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040B8-B7AD-4478-87F2-9AF3D8DCF485}">
  <sheetPr>
    <tabColor theme="5" tint="0.39997558519241921"/>
  </sheetPr>
  <dimension ref="A1:Q1024"/>
  <sheetViews>
    <sheetView workbookViewId="0">
      <selection activeCell="L46" sqref="L46"/>
    </sheetView>
  </sheetViews>
  <sheetFormatPr defaultRowHeight="14.4" x14ac:dyDescent="0.3"/>
  <cols>
    <col min="3" max="3" width="9.88671875" bestFit="1" customWidth="1"/>
    <col min="12" max="12" width="9.21875" customWidth="1"/>
    <col min="14" max="16" width="15.33203125" customWidth="1"/>
    <col min="18" max="18" width="21.6640625" customWidth="1"/>
    <col min="19" max="20" width="12.33203125" bestFit="1" customWidth="1"/>
    <col min="21" max="21" width="12.109375" customWidth="1"/>
    <col min="22" max="22" width="14.44140625" customWidth="1"/>
  </cols>
  <sheetData>
    <row r="1" spans="1:10" ht="15" thickBot="1" x14ac:dyDescent="0.35">
      <c r="A1" t="s">
        <v>660</v>
      </c>
      <c r="I1" s="25" t="s">
        <v>40</v>
      </c>
      <c r="J1" s="134"/>
    </row>
    <row r="2" spans="1:10" x14ac:dyDescent="0.3">
      <c r="I2" s="23" t="s">
        <v>39</v>
      </c>
      <c r="J2" s="23"/>
    </row>
    <row r="3" spans="1:10" ht="15" thickBot="1" x14ac:dyDescent="0.35">
      <c r="I3" s="22" t="s">
        <v>38</v>
      </c>
      <c r="J3" s="22"/>
    </row>
    <row r="4" spans="1:10" ht="15.6" thickTop="1" thickBot="1" x14ac:dyDescent="0.35">
      <c r="I4" s="21" t="s">
        <v>37</v>
      </c>
      <c r="J4" s="21"/>
    </row>
    <row r="5" spans="1:10" ht="15" thickTop="1" x14ac:dyDescent="0.3">
      <c r="I5" s="20" t="s">
        <v>36</v>
      </c>
      <c r="J5" s="20"/>
    </row>
    <row r="9" spans="1:10" ht="15" thickBot="1" x14ac:dyDescent="0.35"/>
    <row r="10" spans="1:10" ht="15" thickBot="1" x14ac:dyDescent="0.35">
      <c r="C10" s="182" t="s">
        <v>16</v>
      </c>
      <c r="D10" s="183"/>
      <c r="E10" s="183"/>
      <c r="F10" s="183"/>
      <c r="G10" s="183"/>
      <c r="H10" s="184"/>
    </row>
    <row r="12" spans="1:10" x14ac:dyDescent="0.3">
      <c r="D12" t="s">
        <v>659</v>
      </c>
    </row>
    <row r="13" spans="1:10" x14ac:dyDescent="0.3">
      <c r="D13" t="s">
        <v>658</v>
      </c>
    </row>
    <row r="14" spans="1:10" x14ac:dyDescent="0.3">
      <c r="C14" s="27">
        <v>200000</v>
      </c>
      <c r="D14" t="s">
        <v>657</v>
      </c>
    </row>
    <row r="21" spans="3:17" ht="15" thickBot="1" x14ac:dyDescent="0.35"/>
    <row r="22" spans="3:17" ht="15" thickBot="1" x14ac:dyDescent="0.35">
      <c r="C22" s="182" t="s">
        <v>10</v>
      </c>
      <c r="D22" s="183"/>
      <c r="E22" s="183"/>
      <c r="F22" s="183"/>
      <c r="G22" s="183"/>
      <c r="H22" s="183"/>
      <c r="I22" s="184"/>
      <c r="J22" s="33"/>
      <c r="K22" s="182" t="s">
        <v>9</v>
      </c>
      <c r="L22" s="183"/>
      <c r="M22" s="183"/>
      <c r="N22" s="183"/>
      <c r="O22" s="183"/>
      <c r="P22" s="183"/>
      <c r="Q22" s="184"/>
    </row>
    <row r="24" spans="3:17" x14ac:dyDescent="0.3">
      <c r="C24" t="s">
        <v>643</v>
      </c>
      <c r="D24" t="s">
        <v>656</v>
      </c>
      <c r="E24" t="s">
        <v>655</v>
      </c>
      <c r="F24" t="s">
        <v>654</v>
      </c>
      <c r="G24" t="s">
        <v>653</v>
      </c>
      <c r="H24" t="s">
        <v>652</v>
      </c>
      <c r="I24" t="s">
        <v>651</v>
      </c>
    </row>
    <row r="25" spans="3:17" x14ac:dyDescent="0.3">
      <c r="C25">
        <v>1</v>
      </c>
      <c r="D25">
        <v>3188.38</v>
      </c>
      <c r="E25" t="s">
        <v>650</v>
      </c>
      <c r="F25">
        <v>2999.28</v>
      </c>
      <c r="G25" t="s">
        <v>650</v>
      </c>
      <c r="H25">
        <v>4030.32</v>
      </c>
      <c r="I25" t="s">
        <v>650</v>
      </c>
    </row>
    <row r="26" spans="3:17" x14ac:dyDescent="0.3">
      <c r="C26">
        <v>2</v>
      </c>
      <c r="D26">
        <v>2482.1799999999998</v>
      </c>
      <c r="E26" t="s">
        <v>650</v>
      </c>
      <c r="F26">
        <v>2062.83</v>
      </c>
      <c r="G26" t="s">
        <v>650</v>
      </c>
      <c r="H26">
        <v>2186.1</v>
      </c>
      <c r="I26" t="s">
        <v>650</v>
      </c>
    </row>
    <row r="27" spans="3:17" x14ac:dyDescent="0.3">
      <c r="C27">
        <v>3</v>
      </c>
      <c r="D27">
        <v>1452.99</v>
      </c>
      <c r="E27" t="s">
        <v>650</v>
      </c>
      <c r="F27">
        <v>2422.41</v>
      </c>
      <c r="G27" t="s">
        <v>650</v>
      </c>
      <c r="H27">
        <v>3538.16</v>
      </c>
      <c r="I27" t="s">
        <v>650</v>
      </c>
    </row>
    <row r="28" spans="3:17" x14ac:dyDescent="0.3">
      <c r="C28">
        <v>4</v>
      </c>
      <c r="D28">
        <v>3207.29</v>
      </c>
      <c r="E28" t="s">
        <v>650</v>
      </c>
      <c r="F28">
        <v>2581.87</v>
      </c>
      <c r="G28" t="s">
        <v>650</v>
      </c>
      <c r="H28">
        <v>5427.71</v>
      </c>
      <c r="I28" t="s">
        <v>650</v>
      </c>
    </row>
    <row r="29" spans="3:17" x14ac:dyDescent="0.3">
      <c r="C29">
        <v>5</v>
      </c>
      <c r="D29">
        <v>3217.58</v>
      </c>
      <c r="E29" t="s">
        <v>650</v>
      </c>
      <c r="F29">
        <v>3063.12</v>
      </c>
      <c r="G29" t="s">
        <v>650</v>
      </c>
      <c r="H29">
        <v>3663.54</v>
      </c>
      <c r="I29" t="s">
        <v>650</v>
      </c>
    </row>
    <row r="30" spans="3:17" x14ac:dyDescent="0.3">
      <c r="C30">
        <v>6</v>
      </c>
      <c r="D30">
        <v>1864.1</v>
      </c>
      <c r="E30" t="s">
        <v>650</v>
      </c>
      <c r="F30">
        <v>3240.74</v>
      </c>
      <c r="G30" t="s">
        <v>650</v>
      </c>
      <c r="H30">
        <v>2705.97</v>
      </c>
      <c r="I30" t="s">
        <v>650</v>
      </c>
    </row>
    <row r="31" spans="3:17" x14ac:dyDescent="0.3">
      <c r="C31">
        <v>7</v>
      </c>
      <c r="D31">
        <v>1948.32</v>
      </c>
      <c r="E31" t="s">
        <v>650</v>
      </c>
      <c r="F31">
        <v>2320.7199999999998</v>
      </c>
      <c r="G31" t="s">
        <v>650</v>
      </c>
      <c r="H31">
        <v>2883.77</v>
      </c>
      <c r="I31" t="s">
        <v>650</v>
      </c>
    </row>
    <row r="32" spans="3:17" x14ac:dyDescent="0.3">
      <c r="C32">
        <v>8</v>
      </c>
      <c r="D32">
        <v>1411.43</v>
      </c>
      <c r="E32" t="s">
        <v>650</v>
      </c>
      <c r="F32">
        <v>2844.86</v>
      </c>
      <c r="G32" t="s">
        <v>650</v>
      </c>
      <c r="H32">
        <v>3860.47</v>
      </c>
      <c r="I32" t="s">
        <v>650</v>
      </c>
    </row>
    <row r="33" spans="3:9" x14ac:dyDescent="0.3">
      <c r="C33">
        <v>9</v>
      </c>
      <c r="D33">
        <v>3280.13</v>
      </c>
      <c r="E33" t="s">
        <v>650</v>
      </c>
      <c r="F33">
        <v>4294.8500000000004</v>
      </c>
      <c r="G33" t="s">
        <v>650</v>
      </c>
      <c r="H33">
        <v>3388.24</v>
      </c>
      <c r="I33" t="s">
        <v>650</v>
      </c>
    </row>
    <row r="34" spans="3:9" x14ac:dyDescent="0.3">
      <c r="C34">
        <v>10</v>
      </c>
      <c r="D34">
        <v>3434.68</v>
      </c>
      <c r="E34" t="s">
        <v>650</v>
      </c>
      <c r="F34">
        <v>2009.6</v>
      </c>
      <c r="G34" t="s">
        <v>650</v>
      </c>
      <c r="H34">
        <v>2784.34</v>
      </c>
      <c r="I34" t="s">
        <v>650</v>
      </c>
    </row>
    <row r="35" spans="3:9" x14ac:dyDescent="0.3">
      <c r="C35">
        <v>11</v>
      </c>
      <c r="D35">
        <v>3054.93</v>
      </c>
      <c r="E35" t="s">
        <v>650</v>
      </c>
      <c r="F35">
        <v>1431.97</v>
      </c>
      <c r="G35" t="s">
        <v>650</v>
      </c>
      <c r="H35">
        <v>3070.34</v>
      </c>
      <c r="I35" t="s">
        <v>650</v>
      </c>
    </row>
    <row r="36" spans="3:9" x14ac:dyDescent="0.3">
      <c r="C36">
        <v>12</v>
      </c>
      <c r="D36">
        <v>3616.74</v>
      </c>
      <c r="E36" t="s">
        <v>650</v>
      </c>
      <c r="F36">
        <v>2855.96</v>
      </c>
      <c r="G36" t="s">
        <v>650</v>
      </c>
      <c r="H36">
        <v>2796.4</v>
      </c>
      <c r="I36" t="s">
        <v>650</v>
      </c>
    </row>
    <row r="37" spans="3:9" x14ac:dyDescent="0.3">
      <c r="C37">
        <v>13</v>
      </c>
      <c r="D37">
        <v>2369.4699999999998</v>
      </c>
      <c r="E37" t="s">
        <v>650</v>
      </c>
      <c r="F37">
        <v>3537.76</v>
      </c>
      <c r="G37" t="s">
        <v>650</v>
      </c>
      <c r="H37">
        <v>2616.11</v>
      </c>
      <c r="I37" t="s">
        <v>650</v>
      </c>
    </row>
    <row r="38" spans="3:9" x14ac:dyDescent="0.3">
      <c r="C38">
        <v>14</v>
      </c>
      <c r="D38">
        <v>2703.85</v>
      </c>
      <c r="E38" t="s">
        <v>650</v>
      </c>
      <c r="F38">
        <v>3208.93</v>
      </c>
      <c r="G38" t="s">
        <v>650</v>
      </c>
      <c r="H38">
        <v>2305.4699999999998</v>
      </c>
      <c r="I38" t="s">
        <v>650</v>
      </c>
    </row>
    <row r="39" spans="3:9" x14ac:dyDescent="0.3">
      <c r="C39">
        <v>15</v>
      </c>
      <c r="D39">
        <v>2648.2</v>
      </c>
      <c r="E39" t="s">
        <v>650</v>
      </c>
      <c r="F39">
        <v>2408.91</v>
      </c>
      <c r="G39" t="s">
        <v>650</v>
      </c>
      <c r="H39">
        <v>3793.43</v>
      </c>
      <c r="I39" t="s">
        <v>650</v>
      </c>
    </row>
    <row r="40" spans="3:9" x14ac:dyDescent="0.3">
      <c r="C40">
        <v>16</v>
      </c>
      <c r="D40">
        <v>3227.14</v>
      </c>
      <c r="E40" t="s">
        <v>650</v>
      </c>
      <c r="F40">
        <v>2737.13</v>
      </c>
      <c r="G40" t="s">
        <v>650</v>
      </c>
      <c r="H40">
        <v>2172.13</v>
      </c>
      <c r="I40" t="s">
        <v>650</v>
      </c>
    </row>
    <row r="41" spans="3:9" x14ac:dyDescent="0.3">
      <c r="C41">
        <v>17</v>
      </c>
      <c r="D41">
        <v>2598.19</v>
      </c>
      <c r="E41" t="s">
        <v>650</v>
      </c>
      <c r="F41">
        <v>2935.58</v>
      </c>
      <c r="G41" t="s">
        <v>650</v>
      </c>
      <c r="H41">
        <v>5097.46</v>
      </c>
      <c r="I41" t="s">
        <v>650</v>
      </c>
    </row>
    <row r="42" spans="3:9" x14ac:dyDescent="0.3">
      <c r="C42">
        <v>18</v>
      </c>
      <c r="D42">
        <v>2317.46</v>
      </c>
      <c r="E42" t="s">
        <v>650</v>
      </c>
      <c r="F42">
        <v>4664.92</v>
      </c>
      <c r="G42" t="s">
        <v>650</v>
      </c>
      <c r="H42">
        <v>3177.98</v>
      </c>
      <c r="I42" t="s">
        <v>650</v>
      </c>
    </row>
    <row r="43" spans="3:9" x14ac:dyDescent="0.3">
      <c r="C43">
        <v>19</v>
      </c>
      <c r="D43">
        <v>2109.8000000000002</v>
      </c>
      <c r="E43" t="s">
        <v>650</v>
      </c>
      <c r="F43">
        <v>3116.88</v>
      </c>
      <c r="G43" t="s">
        <v>650</v>
      </c>
      <c r="H43">
        <v>2446.7399999999998</v>
      </c>
      <c r="I43" t="s">
        <v>650</v>
      </c>
    </row>
    <row r="44" spans="3:9" x14ac:dyDescent="0.3">
      <c r="C44">
        <v>20</v>
      </c>
      <c r="D44">
        <v>3484.96</v>
      </c>
      <c r="E44" t="s">
        <v>650</v>
      </c>
      <c r="F44">
        <v>1646.64</v>
      </c>
      <c r="G44" t="s">
        <v>650</v>
      </c>
      <c r="H44">
        <v>2505.17</v>
      </c>
      <c r="I44" t="s">
        <v>650</v>
      </c>
    </row>
    <row r="45" spans="3:9" x14ac:dyDescent="0.3">
      <c r="C45">
        <v>21</v>
      </c>
      <c r="D45">
        <v>3681.35</v>
      </c>
      <c r="E45" t="s">
        <v>650</v>
      </c>
      <c r="F45">
        <v>4107.01</v>
      </c>
      <c r="G45" t="s">
        <v>650</v>
      </c>
      <c r="H45">
        <v>2705.42</v>
      </c>
      <c r="I45" t="s">
        <v>650</v>
      </c>
    </row>
    <row r="46" spans="3:9" x14ac:dyDescent="0.3">
      <c r="C46">
        <v>22</v>
      </c>
      <c r="D46">
        <v>2960.81</v>
      </c>
      <c r="E46" t="s">
        <v>650</v>
      </c>
      <c r="F46">
        <v>2655.3</v>
      </c>
      <c r="G46" t="s">
        <v>650</v>
      </c>
      <c r="H46">
        <v>3537.75</v>
      </c>
      <c r="I46" t="s">
        <v>650</v>
      </c>
    </row>
    <row r="47" spans="3:9" x14ac:dyDescent="0.3">
      <c r="C47">
        <v>23</v>
      </c>
      <c r="D47">
        <v>3011.59</v>
      </c>
      <c r="E47" t="s">
        <v>650</v>
      </c>
      <c r="F47">
        <v>1330.1</v>
      </c>
      <c r="G47" t="s">
        <v>650</v>
      </c>
      <c r="H47">
        <v>3734.62</v>
      </c>
      <c r="I47" t="s">
        <v>650</v>
      </c>
    </row>
    <row r="48" spans="3:9" x14ac:dyDescent="0.3">
      <c r="C48">
        <v>24</v>
      </c>
      <c r="D48">
        <v>3221.24</v>
      </c>
      <c r="E48" t="s">
        <v>650</v>
      </c>
      <c r="F48">
        <v>3787.08</v>
      </c>
      <c r="G48" t="s">
        <v>650</v>
      </c>
      <c r="H48">
        <v>2859.07</v>
      </c>
      <c r="I48" t="s">
        <v>650</v>
      </c>
    </row>
    <row r="49" spans="3:9" x14ac:dyDescent="0.3">
      <c r="C49">
        <v>25</v>
      </c>
      <c r="D49">
        <v>2543.1999999999998</v>
      </c>
      <c r="E49" t="s">
        <v>650</v>
      </c>
      <c r="F49">
        <v>3992.66</v>
      </c>
      <c r="G49" t="s">
        <v>650</v>
      </c>
      <c r="H49">
        <v>2799.3</v>
      </c>
      <c r="I49" t="s">
        <v>650</v>
      </c>
    </row>
    <row r="50" spans="3:9" x14ac:dyDescent="0.3">
      <c r="C50">
        <v>26</v>
      </c>
      <c r="D50">
        <v>3122.45</v>
      </c>
      <c r="E50" t="s">
        <v>650</v>
      </c>
      <c r="F50">
        <v>4021.85</v>
      </c>
      <c r="G50" t="s">
        <v>650</v>
      </c>
      <c r="H50">
        <v>3295.12</v>
      </c>
      <c r="I50" t="s">
        <v>650</v>
      </c>
    </row>
    <row r="51" spans="3:9" x14ac:dyDescent="0.3">
      <c r="C51">
        <v>27</v>
      </c>
      <c r="D51">
        <v>3217.22</v>
      </c>
      <c r="E51" t="s">
        <v>650</v>
      </c>
      <c r="F51">
        <v>2301.6799999999998</v>
      </c>
      <c r="G51" t="s">
        <v>650</v>
      </c>
      <c r="H51">
        <v>3327.2</v>
      </c>
      <c r="I51" t="s">
        <v>650</v>
      </c>
    </row>
    <row r="52" spans="3:9" x14ac:dyDescent="0.3">
      <c r="C52">
        <v>28</v>
      </c>
      <c r="D52">
        <v>2655.38</v>
      </c>
      <c r="E52" t="s">
        <v>650</v>
      </c>
      <c r="F52">
        <v>2573.0700000000002</v>
      </c>
      <c r="G52" t="s">
        <v>650</v>
      </c>
      <c r="H52">
        <v>3422.14</v>
      </c>
      <c r="I52" t="s">
        <v>650</v>
      </c>
    </row>
    <row r="53" spans="3:9" x14ac:dyDescent="0.3">
      <c r="C53">
        <v>29</v>
      </c>
      <c r="D53">
        <v>2714.27</v>
      </c>
      <c r="E53" t="s">
        <v>650</v>
      </c>
      <c r="F53">
        <v>3006.92</v>
      </c>
      <c r="G53" t="s">
        <v>650</v>
      </c>
      <c r="H53">
        <v>2847.07</v>
      </c>
      <c r="I53" t="s">
        <v>650</v>
      </c>
    </row>
    <row r="54" spans="3:9" x14ac:dyDescent="0.3">
      <c r="C54">
        <v>30</v>
      </c>
      <c r="D54">
        <v>3326.87</v>
      </c>
      <c r="E54" t="s">
        <v>650</v>
      </c>
      <c r="F54">
        <v>2242.44</v>
      </c>
      <c r="G54" t="s">
        <v>650</v>
      </c>
      <c r="H54">
        <v>3761.37</v>
      </c>
      <c r="I54" t="s">
        <v>650</v>
      </c>
    </row>
    <row r="55" spans="3:9" x14ac:dyDescent="0.3">
      <c r="C55">
        <v>31</v>
      </c>
      <c r="D55">
        <v>2476.23</v>
      </c>
      <c r="E55" t="s">
        <v>650</v>
      </c>
      <c r="F55">
        <v>2306.17</v>
      </c>
      <c r="G55" t="s">
        <v>650</v>
      </c>
      <c r="H55">
        <v>4986.51</v>
      </c>
      <c r="I55" t="s">
        <v>650</v>
      </c>
    </row>
    <row r="56" spans="3:9" x14ac:dyDescent="0.3">
      <c r="C56">
        <v>32</v>
      </c>
      <c r="D56">
        <v>2762.58</v>
      </c>
      <c r="E56" t="s">
        <v>650</v>
      </c>
      <c r="F56">
        <v>2487.4899999999998</v>
      </c>
      <c r="G56" t="s">
        <v>650</v>
      </c>
      <c r="H56">
        <v>3590.71</v>
      </c>
      <c r="I56" t="s">
        <v>650</v>
      </c>
    </row>
    <row r="57" spans="3:9" x14ac:dyDescent="0.3">
      <c r="C57">
        <v>33</v>
      </c>
      <c r="D57">
        <v>2476.38</v>
      </c>
      <c r="E57" t="s">
        <v>650</v>
      </c>
      <c r="F57">
        <v>2158.1799999999998</v>
      </c>
      <c r="G57" t="s">
        <v>650</v>
      </c>
      <c r="H57">
        <v>2582.63</v>
      </c>
      <c r="I57" t="s">
        <v>650</v>
      </c>
    </row>
    <row r="58" spans="3:9" x14ac:dyDescent="0.3">
      <c r="C58">
        <v>34</v>
      </c>
      <c r="D58">
        <v>3422.28</v>
      </c>
      <c r="E58" t="s">
        <v>650</v>
      </c>
      <c r="F58">
        <v>1873.87</v>
      </c>
      <c r="G58" t="s">
        <v>650</v>
      </c>
      <c r="H58">
        <v>3154.44</v>
      </c>
      <c r="I58" t="s">
        <v>650</v>
      </c>
    </row>
    <row r="59" spans="3:9" x14ac:dyDescent="0.3">
      <c r="C59">
        <v>35</v>
      </c>
      <c r="D59">
        <v>3069.06</v>
      </c>
      <c r="E59" t="s">
        <v>650</v>
      </c>
      <c r="F59">
        <v>2002.73</v>
      </c>
      <c r="G59" t="s">
        <v>650</v>
      </c>
      <c r="H59">
        <v>3726.29</v>
      </c>
      <c r="I59" t="s">
        <v>650</v>
      </c>
    </row>
    <row r="60" spans="3:9" x14ac:dyDescent="0.3">
      <c r="C60">
        <v>36</v>
      </c>
      <c r="D60">
        <v>1670.8</v>
      </c>
      <c r="E60" t="s">
        <v>650</v>
      </c>
      <c r="F60">
        <v>3253.1</v>
      </c>
      <c r="G60" t="s">
        <v>650</v>
      </c>
      <c r="H60">
        <v>4630.68</v>
      </c>
      <c r="I60" t="s">
        <v>650</v>
      </c>
    </row>
    <row r="61" spans="3:9" x14ac:dyDescent="0.3">
      <c r="C61">
        <v>37</v>
      </c>
      <c r="D61">
        <v>2552.87</v>
      </c>
      <c r="E61" t="s">
        <v>650</v>
      </c>
      <c r="F61">
        <v>2639</v>
      </c>
      <c r="G61" t="s">
        <v>650</v>
      </c>
      <c r="H61">
        <v>3122.64</v>
      </c>
      <c r="I61" t="s">
        <v>650</v>
      </c>
    </row>
    <row r="62" spans="3:9" x14ac:dyDescent="0.3">
      <c r="C62">
        <v>38</v>
      </c>
      <c r="D62">
        <v>2952.93</v>
      </c>
      <c r="E62" t="s">
        <v>650</v>
      </c>
      <c r="F62">
        <v>2557.0500000000002</v>
      </c>
      <c r="G62" t="s">
        <v>650</v>
      </c>
      <c r="H62">
        <v>1862.66</v>
      </c>
      <c r="I62" t="s">
        <v>650</v>
      </c>
    </row>
    <row r="63" spans="3:9" x14ac:dyDescent="0.3">
      <c r="C63">
        <v>39</v>
      </c>
      <c r="D63">
        <v>2802.27</v>
      </c>
      <c r="E63" t="s">
        <v>650</v>
      </c>
      <c r="F63">
        <v>2851.73</v>
      </c>
      <c r="G63" t="s">
        <v>650</v>
      </c>
      <c r="H63">
        <v>3429.62</v>
      </c>
      <c r="I63" t="s">
        <v>650</v>
      </c>
    </row>
    <row r="64" spans="3:9" x14ac:dyDescent="0.3">
      <c r="C64">
        <v>40</v>
      </c>
      <c r="D64">
        <v>3420.11</v>
      </c>
      <c r="E64" t="s">
        <v>650</v>
      </c>
      <c r="F64">
        <v>2165.4699999999998</v>
      </c>
      <c r="G64" t="s">
        <v>650</v>
      </c>
      <c r="H64">
        <v>2299.25</v>
      </c>
      <c r="I64" t="s">
        <v>650</v>
      </c>
    </row>
    <row r="65" spans="3:9" x14ac:dyDescent="0.3">
      <c r="C65">
        <v>41</v>
      </c>
      <c r="D65">
        <v>2685.8</v>
      </c>
      <c r="E65" t="s">
        <v>650</v>
      </c>
      <c r="F65">
        <v>3312.15</v>
      </c>
      <c r="G65" t="s">
        <v>650</v>
      </c>
      <c r="H65">
        <v>4418.68</v>
      </c>
      <c r="I65" t="s">
        <v>650</v>
      </c>
    </row>
    <row r="66" spans="3:9" x14ac:dyDescent="0.3">
      <c r="C66">
        <v>42</v>
      </c>
      <c r="D66">
        <v>3658.79</v>
      </c>
      <c r="E66" t="s">
        <v>650</v>
      </c>
      <c r="F66">
        <v>3203.07</v>
      </c>
      <c r="G66" t="s">
        <v>650</v>
      </c>
      <c r="H66">
        <v>3285.19</v>
      </c>
      <c r="I66" t="s">
        <v>650</v>
      </c>
    </row>
    <row r="67" spans="3:9" x14ac:dyDescent="0.3">
      <c r="C67">
        <v>43</v>
      </c>
      <c r="D67">
        <v>3149.68</v>
      </c>
      <c r="E67" t="s">
        <v>650</v>
      </c>
      <c r="F67">
        <v>3331.85</v>
      </c>
      <c r="G67" t="s">
        <v>650</v>
      </c>
      <c r="H67">
        <v>3239.46</v>
      </c>
      <c r="I67" t="s">
        <v>650</v>
      </c>
    </row>
    <row r="68" spans="3:9" x14ac:dyDescent="0.3">
      <c r="C68">
        <v>44</v>
      </c>
      <c r="D68">
        <v>3787.74</v>
      </c>
      <c r="E68" t="s">
        <v>650</v>
      </c>
      <c r="F68">
        <v>1549.23</v>
      </c>
      <c r="G68" t="s">
        <v>650</v>
      </c>
      <c r="H68">
        <v>4014.38</v>
      </c>
      <c r="I68" t="s">
        <v>650</v>
      </c>
    </row>
    <row r="69" spans="3:9" x14ac:dyDescent="0.3">
      <c r="C69">
        <v>45</v>
      </c>
      <c r="D69">
        <v>3562.35</v>
      </c>
      <c r="E69" t="s">
        <v>650</v>
      </c>
      <c r="F69">
        <v>3075.27</v>
      </c>
      <c r="G69" t="s">
        <v>650</v>
      </c>
      <c r="H69">
        <v>2481.38</v>
      </c>
      <c r="I69" t="s">
        <v>650</v>
      </c>
    </row>
    <row r="70" spans="3:9" x14ac:dyDescent="0.3">
      <c r="C70">
        <v>46</v>
      </c>
      <c r="D70">
        <v>2949.46</v>
      </c>
      <c r="E70" t="s">
        <v>650</v>
      </c>
      <c r="F70">
        <v>3446.32</v>
      </c>
      <c r="G70" t="s">
        <v>650</v>
      </c>
      <c r="H70">
        <v>3620.99</v>
      </c>
      <c r="I70" t="s">
        <v>650</v>
      </c>
    </row>
    <row r="71" spans="3:9" x14ac:dyDescent="0.3">
      <c r="C71">
        <v>47</v>
      </c>
      <c r="D71">
        <v>2621.49</v>
      </c>
      <c r="E71" t="s">
        <v>650</v>
      </c>
      <c r="F71">
        <v>4065.18</v>
      </c>
      <c r="G71" t="s">
        <v>650</v>
      </c>
      <c r="H71">
        <v>1950.55</v>
      </c>
      <c r="I71" t="s">
        <v>650</v>
      </c>
    </row>
    <row r="72" spans="3:9" x14ac:dyDescent="0.3">
      <c r="C72">
        <v>48</v>
      </c>
      <c r="D72">
        <v>3023.91</v>
      </c>
      <c r="E72" t="s">
        <v>650</v>
      </c>
      <c r="F72">
        <v>3162</v>
      </c>
      <c r="G72" t="s">
        <v>650</v>
      </c>
      <c r="H72">
        <v>3062.53</v>
      </c>
      <c r="I72" t="s">
        <v>650</v>
      </c>
    </row>
    <row r="73" spans="3:9" x14ac:dyDescent="0.3">
      <c r="C73">
        <v>49</v>
      </c>
      <c r="D73">
        <v>2316.11</v>
      </c>
      <c r="E73" t="s">
        <v>650</v>
      </c>
      <c r="F73">
        <v>3902.24</v>
      </c>
      <c r="G73" t="s">
        <v>650</v>
      </c>
      <c r="H73">
        <v>3709.64</v>
      </c>
      <c r="I73" t="s">
        <v>650</v>
      </c>
    </row>
    <row r="74" spans="3:9" x14ac:dyDescent="0.3">
      <c r="C74">
        <v>50</v>
      </c>
      <c r="D74">
        <v>3368.21</v>
      </c>
      <c r="E74" t="s">
        <v>650</v>
      </c>
      <c r="F74">
        <v>2955.78</v>
      </c>
      <c r="G74" t="s">
        <v>650</v>
      </c>
      <c r="H74">
        <v>1820.43</v>
      </c>
      <c r="I74" t="s">
        <v>650</v>
      </c>
    </row>
    <row r="75" spans="3:9" x14ac:dyDescent="0.3">
      <c r="C75">
        <v>51</v>
      </c>
      <c r="D75">
        <v>2996.78</v>
      </c>
      <c r="E75" t="s">
        <v>650</v>
      </c>
      <c r="F75">
        <v>2731.78</v>
      </c>
      <c r="G75" t="s">
        <v>650</v>
      </c>
      <c r="H75">
        <v>3447.39</v>
      </c>
      <c r="I75" t="s">
        <v>650</v>
      </c>
    </row>
    <row r="76" spans="3:9" x14ac:dyDescent="0.3">
      <c r="C76">
        <v>52</v>
      </c>
      <c r="D76">
        <v>2231.08</v>
      </c>
      <c r="E76" t="s">
        <v>650</v>
      </c>
      <c r="F76">
        <v>1925.25</v>
      </c>
      <c r="G76" t="s">
        <v>650</v>
      </c>
      <c r="H76">
        <v>3141.29</v>
      </c>
      <c r="I76" t="s">
        <v>650</v>
      </c>
    </row>
    <row r="77" spans="3:9" x14ac:dyDescent="0.3">
      <c r="C77">
        <v>53</v>
      </c>
      <c r="D77">
        <v>3521.69</v>
      </c>
      <c r="E77" t="s">
        <v>650</v>
      </c>
      <c r="F77">
        <v>2125.19</v>
      </c>
      <c r="G77" t="s">
        <v>650</v>
      </c>
      <c r="H77">
        <v>4235</v>
      </c>
      <c r="I77" t="s">
        <v>650</v>
      </c>
    </row>
    <row r="78" spans="3:9" x14ac:dyDescent="0.3">
      <c r="C78">
        <v>54</v>
      </c>
      <c r="D78">
        <v>4207.08</v>
      </c>
      <c r="E78" t="s">
        <v>650</v>
      </c>
      <c r="F78">
        <v>2951.66</v>
      </c>
      <c r="G78" t="s">
        <v>650</v>
      </c>
      <c r="H78">
        <v>3530.52</v>
      </c>
      <c r="I78" t="s">
        <v>650</v>
      </c>
    </row>
    <row r="79" spans="3:9" x14ac:dyDescent="0.3">
      <c r="C79">
        <v>55</v>
      </c>
      <c r="D79">
        <v>1934.71</v>
      </c>
      <c r="E79" t="s">
        <v>650</v>
      </c>
      <c r="F79">
        <v>3486.36</v>
      </c>
      <c r="G79" t="s">
        <v>650</v>
      </c>
      <c r="H79">
        <v>2825.85</v>
      </c>
      <c r="I79" t="s">
        <v>650</v>
      </c>
    </row>
    <row r="80" spans="3:9" x14ac:dyDescent="0.3">
      <c r="C80">
        <v>56</v>
      </c>
      <c r="D80">
        <v>2834.78</v>
      </c>
      <c r="E80" t="s">
        <v>650</v>
      </c>
      <c r="F80">
        <v>2075.08</v>
      </c>
      <c r="G80" t="s">
        <v>650</v>
      </c>
      <c r="H80">
        <v>3724.2</v>
      </c>
      <c r="I80" t="s">
        <v>650</v>
      </c>
    </row>
    <row r="81" spans="3:9" x14ac:dyDescent="0.3">
      <c r="C81">
        <v>57</v>
      </c>
      <c r="D81">
        <v>2321.11</v>
      </c>
      <c r="E81" t="s">
        <v>650</v>
      </c>
      <c r="F81">
        <v>1765.37</v>
      </c>
      <c r="G81" t="s">
        <v>650</v>
      </c>
      <c r="H81">
        <v>3915.36</v>
      </c>
      <c r="I81" t="s">
        <v>650</v>
      </c>
    </row>
    <row r="82" spans="3:9" x14ac:dyDescent="0.3">
      <c r="C82">
        <v>58</v>
      </c>
      <c r="D82">
        <v>1809.76</v>
      </c>
      <c r="E82" t="s">
        <v>650</v>
      </c>
      <c r="F82">
        <v>2563.4899999999998</v>
      </c>
      <c r="G82" t="s">
        <v>650</v>
      </c>
      <c r="H82">
        <v>2588.71</v>
      </c>
      <c r="I82" t="s">
        <v>650</v>
      </c>
    </row>
    <row r="83" spans="3:9" x14ac:dyDescent="0.3">
      <c r="C83">
        <v>59</v>
      </c>
      <c r="D83">
        <v>3388.64</v>
      </c>
      <c r="E83" t="s">
        <v>650</v>
      </c>
      <c r="F83">
        <v>2527.71</v>
      </c>
      <c r="G83" t="s">
        <v>650</v>
      </c>
      <c r="H83">
        <v>2717.98</v>
      </c>
      <c r="I83" t="s">
        <v>650</v>
      </c>
    </row>
    <row r="84" spans="3:9" x14ac:dyDescent="0.3">
      <c r="C84">
        <v>60</v>
      </c>
      <c r="D84">
        <v>3205.58</v>
      </c>
      <c r="E84" t="s">
        <v>650</v>
      </c>
      <c r="F84">
        <v>3665.31</v>
      </c>
      <c r="G84" t="s">
        <v>650</v>
      </c>
      <c r="H84">
        <v>3648.59</v>
      </c>
      <c r="I84" t="s">
        <v>650</v>
      </c>
    </row>
    <row r="85" spans="3:9" x14ac:dyDescent="0.3">
      <c r="C85">
        <v>61</v>
      </c>
      <c r="D85">
        <v>3518.49</v>
      </c>
      <c r="E85" t="s">
        <v>650</v>
      </c>
      <c r="F85">
        <v>2402.88</v>
      </c>
      <c r="G85" t="s">
        <v>650</v>
      </c>
      <c r="H85">
        <v>2955.89</v>
      </c>
      <c r="I85" t="s">
        <v>650</v>
      </c>
    </row>
    <row r="86" spans="3:9" x14ac:dyDescent="0.3">
      <c r="C86">
        <v>62</v>
      </c>
      <c r="D86">
        <v>1491.41</v>
      </c>
      <c r="E86" t="s">
        <v>650</v>
      </c>
      <c r="F86">
        <v>2589.9499999999998</v>
      </c>
      <c r="G86" t="s">
        <v>650</v>
      </c>
      <c r="H86">
        <v>2389.7600000000002</v>
      </c>
      <c r="I86" t="s">
        <v>650</v>
      </c>
    </row>
    <row r="87" spans="3:9" x14ac:dyDescent="0.3">
      <c r="C87">
        <v>63</v>
      </c>
      <c r="D87">
        <v>3532.07</v>
      </c>
      <c r="E87" t="s">
        <v>650</v>
      </c>
      <c r="F87">
        <v>3902.85</v>
      </c>
      <c r="G87" t="s">
        <v>650</v>
      </c>
      <c r="H87">
        <v>2154.06</v>
      </c>
      <c r="I87" t="s">
        <v>650</v>
      </c>
    </row>
    <row r="88" spans="3:9" x14ac:dyDescent="0.3">
      <c r="C88">
        <v>64</v>
      </c>
      <c r="D88">
        <v>2646.75</v>
      </c>
      <c r="E88" t="s">
        <v>650</v>
      </c>
      <c r="F88">
        <v>2108.69</v>
      </c>
      <c r="G88" t="s">
        <v>650</v>
      </c>
      <c r="H88">
        <v>3544.6</v>
      </c>
      <c r="I88" t="s">
        <v>650</v>
      </c>
    </row>
    <row r="89" spans="3:9" x14ac:dyDescent="0.3">
      <c r="C89">
        <v>65</v>
      </c>
      <c r="D89">
        <v>3041.5</v>
      </c>
      <c r="E89" t="s">
        <v>650</v>
      </c>
      <c r="F89">
        <v>1911.66</v>
      </c>
      <c r="G89" t="s">
        <v>650</v>
      </c>
      <c r="H89">
        <v>2854.08</v>
      </c>
      <c r="I89" t="s">
        <v>650</v>
      </c>
    </row>
    <row r="90" spans="3:9" x14ac:dyDescent="0.3">
      <c r="C90">
        <v>66</v>
      </c>
      <c r="D90">
        <v>2362.62</v>
      </c>
      <c r="E90" t="s">
        <v>650</v>
      </c>
      <c r="F90">
        <v>2463.62</v>
      </c>
      <c r="G90" t="s">
        <v>650</v>
      </c>
      <c r="H90">
        <v>3412.52</v>
      </c>
      <c r="I90" t="s">
        <v>650</v>
      </c>
    </row>
    <row r="91" spans="3:9" x14ac:dyDescent="0.3">
      <c r="C91">
        <v>67</v>
      </c>
      <c r="D91">
        <v>2111.04</v>
      </c>
      <c r="E91" t="s">
        <v>650</v>
      </c>
      <c r="F91">
        <v>3064.63</v>
      </c>
      <c r="G91" t="s">
        <v>650</v>
      </c>
      <c r="H91">
        <v>3421.01</v>
      </c>
      <c r="I91" t="s">
        <v>650</v>
      </c>
    </row>
    <row r="92" spans="3:9" x14ac:dyDescent="0.3">
      <c r="C92">
        <v>68</v>
      </c>
      <c r="D92">
        <v>4023.79</v>
      </c>
      <c r="E92" t="s">
        <v>650</v>
      </c>
      <c r="F92">
        <v>3907.87</v>
      </c>
      <c r="G92" t="s">
        <v>650</v>
      </c>
      <c r="H92">
        <v>2580.7800000000002</v>
      </c>
      <c r="I92" t="s">
        <v>650</v>
      </c>
    </row>
    <row r="93" spans="3:9" x14ac:dyDescent="0.3">
      <c r="C93">
        <v>69</v>
      </c>
      <c r="D93">
        <v>4495.88</v>
      </c>
      <c r="E93" t="s">
        <v>650</v>
      </c>
      <c r="F93">
        <v>3036.04</v>
      </c>
      <c r="G93" t="s">
        <v>650</v>
      </c>
      <c r="H93">
        <v>2698.09</v>
      </c>
      <c r="I93" t="s">
        <v>650</v>
      </c>
    </row>
    <row r="94" spans="3:9" x14ac:dyDescent="0.3">
      <c r="C94">
        <v>70</v>
      </c>
      <c r="D94">
        <v>2667.55</v>
      </c>
      <c r="E94" t="s">
        <v>650</v>
      </c>
      <c r="F94">
        <v>2890.08</v>
      </c>
      <c r="G94" t="s">
        <v>650</v>
      </c>
      <c r="H94">
        <v>2382.6999999999998</v>
      </c>
      <c r="I94" t="s">
        <v>650</v>
      </c>
    </row>
    <row r="95" spans="3:9" x14ac:dyDescent="0.3">
      <c r="C95">
        <v>71</v>
      </c>
      <c r="D95">
        <v>2780.4</v>
      </c>
      <c r="E95" t="s">
        <v>650</v>
      </c>
      <c r="F95">
        <v>3358.86</v>
      </c>
      <c r="G95" t="s">
        <v>650</v>
      </c>
      <c r="H95">
        <v>2785.26</v>
      </c>
      <c r="I95" t="s">
        <v>650</v>
      </c>
    </row>
    <row r="96" spans="3:9" x14ac:dyDescent="0.3">
      <c r="C96">
        <v>72</v>
      </c>
      <c r="D96">
        <v>2513.62</v>
      </c>
      <c r="E96" t="s">
        <v>650</v>
      </c>
      <c r="F96">
        <v>2504.08</v>
      </c>
      <c r="G96" t="s">
        <v>650</v>
      </c>
      <c r="H96">
        <v>4776.43</v>
      </c>
      <c r="I96" t="s">
        <v>650</v>
      </c>
    </row>
    <row r="97" spans="3:9" x14ac:dyDescent="0.3">
      <c r="C97">
        <v>73</v>
      </c>
      <c r="D97">
        <v>1463.88</v>
      </c>
      <c r="E97" t="s">
        <v>650</v>
      </c>
      <c r="F97">
        <v>2635.93</v>
      </c>
      <c r="G97" t="s">
        <v>650</v>
      </c>
      <c r="H97">
        <v>3514.89</v>
      </c>
      <c r="I97" t="s">
        <v>650</v>
      </c>
    </row>
    <row r="98" spans="3:9" x14ac:dyDescent="0.3">
      <c r="C98">
        <v>74</v>
      </c>
      <c r="D98">
        <v>3076.74</v>
      </c>
      <c r="E98" t="s">
        <v>650</v>
      </c>
      <c r="F98">
        <v>2908.07</v>
      </c>
      <c r="G98" t="s">
        <v>650</v>
      </c>
      <c r="H98">
        <v>2556.79</v>
      </c>
      <c r="I98" t="s">
        <v>650</v>
      </c>
    </row>
    <row r="99" spans="3:9" x14ac:dyDescent="0.3">
      <c r="C99">
        <v>75</v>
      </c>
      <c r="D99">
        <v>3127.47</v>
      </c>
      <c r="E99" t="s">
        <v>650</v>
      </c>
      <c r="F99">
        <v>3262.69</v>
      </c>
      <c r="G99" t="s">
        <v>650</v>
      </c>
      <c r="H99">
        <v>3686.58</v>
      </c>
      <c r="I99" t="s">
        <v>650</v>
      </c>
    </row>
    <row r="100" spans="3:9" x14ac:dyDescent="0.3">
      <c r="C100">
        <v>76</v>
      </c>
      <c r="D100">
        <v>2900.09</v>
      </c>
      <c r="E100" t="s">
        <v>650</v>
      </c>
      <c r="F100">
        <v>3195.45</v>
      </c>
      <c r="G100" t="s">
        <v>650</v>
      </c>
      <c r="H100">
        <v>4124.26</v>
      </c>
      <c r="I100" t="s">
        <v>650</v>
      </c>
    </row>
    <row r="101" spans="3:9" x14ac:dyDescent="0.3">
      <c r="C101">
        <v>77</v>
      </c>
      <c r="D101">
        <v>3144.63</v>
      </c>
      <c r="E101" t="s">
        <v>650</v>
      </c>
      <c r="F101">
        <v>2606.77</v>
      </c>
      <c r="G101" t="s">
        <v>650</v>
      </c>
      <c r="H101">
        <v>3556.81</v>
      </c>
      <c r="I101" t="s">
        <v>650</v>
      </c>
    </row>
    <row r="102" spans="3:9" x14ac:dyDescent="0.3">
      <c r="C102">
        <v>78</v>
      </c>
      <c r="D102">
        <v>2590.64</v>
      </c>
      <c r="E102" t="s">
        <v>650</v>
      </c>
      <c r="F102">
        <v>3236.68</v>
      </c>
      <c r="G102" t="s">
        <v>650</v>
      </c>
      <c r="H102">
        <v>4016.82</v>
      </c>
      <c r="I102" t="s">
        <v>650</v>
      </c>
    </row>
    <row r="103" spans="3:9" x14ac:dyDescent="0.3">
      <c r="C103">
        <v>79</v>
      </c>
      <c r="D103">
        <v>1613.65</v>
      </c>
      <c r="E103" t="s">
        <v>650</v>
      </c>
      <c r="F103">
        <v>3172.02</v>
      </c>
      <c r="G103" t="s">
        <v>650</v>
      </c>
      <c r="H103">
        <v>2918.9</v>
      </c>
      <c r="I103" t="s">
        <v>650</v>
      </c>
    </row>
    <row r="104" spans="3:9" x14ac:dyDescent="0.3">
      <c r="C104">
        <v>80</v>
      </c>
      <c r="D104">
        <v>3151.58</v>
      </c>
      <c r="E104" t="s">
        <v>650</v>
      </c>
      <c r="F104">
        <v>3078.29</v>
      </c>
      <c r="G104" t="s">
        <v>650</v>
      </c>
      <c r="H104">
        <v>2527.33</v>
      </c>
      <c r="I104" t="s">
        <v>650</v>
      </c>
    </row>
    <row r="105" spans="3:9" x14ac:dyDescent="0.3">
      <c r="C105">
        <v>81</v>
      </c>
      <c r="D105">
        <v>3201.1</v>
      </c>
      <c r="E105" t="s">
        <v>650</v>
      </c>
      <c r="F105">
        <v>3966.95</v>
      </c>
      <c r="G105" t="s">
        <v>650</v>
      </c>
      <c r="H105">
        <v>3596.56</v>
      </c>
      <c r="I105" t="s">
        <v>650</v>
      </c>
    </row>
    <row r="106" spans="3:9" x14ac:dyDescent="0.3">
      <c r="C106">
        <v>82</v>
      </c>
      <c r="D106">
        <v>2604.4</v>
      </c>
      <c r="E106" t="s">
        <v>650</v>
      </c>
      <c r="F106">
        <v>3100.86</v>
      </c>
      <c r="G106" t="s">
        <v>650</v>
      </c>
      <c r="H106">
        <v>2634.82</v>
      </c>
      <c r="I106" t="s">
        <v>650</v>
      </c>
    </row>
    <row r="107" spans="3:9" x14ac:dyDescent="0.3">
      <c r="C107">
        <v>83</v>
      </c>
      <c r="D107">
        <v>2666.99</v>
      </c>
      <c r="E107" t="s">
        <v>650</v>
      </c>
      <c r="F107">
        <v>3535.03</v>
      </c>
      <c r="G107" t="s">
        <v>650</v>
      </c>
      <c r="H107">
        <v>2623.48</v>
      </c>
      <c r="I107" t="s">
        <v>650</v>
      </c>
    </row>
    <row r="108" spans="3:9" x14ac:dyDescent="0.3">
      <c r="C108">
        <v>84</v>
      </c>
      <c r="D108">
        <v>2842.71</v>
      </c>
      <c r="E108" t="s">
        <v>650</v>
      </c>
      <c r="F108">
        <v>2970.16</v>
      </c>
      <c r="G108" t="s">
        <v>650</v>
      </c>
      <c r="H108">
        <v>2777.18</v>
      </c>
      <c r="I108" t="s">
        <v>650</v>
      </c>
    </row>
    <row r="109" spans="3:9" x14ac:dyDescent="0.3">
      <c r="C109">
        <v>85</v>
      </c>
      <c r="D109">
        <v>2461.34</v>
      </c>
      <c r="E109" t="s">
        <v>650</v>
      </c>
      <c r="F109">
        <v>4859.05</v>
      </c>
      <c r="G109" t="s">
        <v>650</v>
      </c>
      <c r="H109">
        <v>4412.54</v>
      </c>
      <c r="I109" t="s">
        <v>650</v>
      </c>
    </row>
    <row r="110" spans="3:9" x14ac:dyDescent="0.3">
      <c r="C110">
        <v>86</v>
      </c>
      <c r="D110">
        <v>2719.94</v>
      </c>
      <c r="E110" t="s">
        <v>650</v>
      </c>
      <c r="F110">
        <v>2466.25</v>
      </c>
      <c r="G110" t="s">
        <v>650</v>
      </c>
      <c r="H110">
        <v>4549.22</v>
      </c>
      <c r="I110" t="s">
        <v>650</v>
      </c>
    </row>
    <row r="111" spans="3:9" x14ac:dyDescent="0.3">
      <c r="C111">
        <v>87</v>
      </c>
      <c r="D111">
        <v>3507.59</v>
      </c>
      <c r="E111" t="s">
        <v>650</v>
      </c>
      <c r="F111">
        <v>3937.45</v>
      </c>
      <c r="G111" t="s">
        <v>650</v>
      </c>
      <c r="H111">
        <v>2662.89</v>
      </c>
      <c r="I111" t="s">
        <v>650</v>
      </c>
    </row>
    <row r="112" spans="3:9" x14ac:dyDescent="0.3">
      <c r="C112">
        <v>88</v>
      </c>
      <c r="D112">
        <v>4045.14</v>
      </c>
      <c r="E112" t="s">
        <v>650</v>
      </c>
      <c r="F112">
        <v>4021.39</v>
      </c>
      <c r="G112" t="s">
        <v>650</v>
      </c>
      <c r="H112">
        <v>3342.05</v>
      </c>
      <c r="I112" t="s">
        <v>650</v>
      </c>
    </row>
    <row r="113" spans="3:9" x14ac:dyDescent="0.3">
      <c r="C113">
        <v>89</v>
      </c>
      <c r="D113">
        <v>2988.83</v>
      </c>
      <c r="E113" t="s">
        <v>650</v>
      </c>
      <c r="F113">
        <v>3140.62</v>
      </c>
      <c r="G113" t="s">
        <v>650</v>
      </c>
      <c r="H113">
        <v>4061.01</v>
      </c>
      <c r="I113" t="s">
        <v>650</v>
      </c>
    </row>
    <row r="114" spans="3:9" x14ac:dyDescent="0.3">
      <c r="C114">
        <v>90</v>
      </c>
      <c r="D114">
        <v>1806.17</v>
      </c>
      <c r="E114" t="s">
        <v>650</v>
      </c>
      <c r="F114">
        <v>2248.0500000000002</v>
      </c>
      <c r="G114" t="s">
        <v>650</v>
      </c>
      <c r="H114">
        <v>2986.69</v>
      </c>
      <c r="I114" t="s">
        <v>650</v>
      </c>
    </row>
    <row r="115" spans="3:9" x14ac:dyDescent="0.3">
      <c r="C115">
        <v>91</v>
      </c>
      <c r="D115">
        <v>3076.56</v>
      </c>
      <c r="E115" t="s">
        <v>650</v>
      </c>
      <c r="F115">
        <v>2791.55</v>
      </c>
      <c r="G115" t="s">
        <v>650</v>
      </c>
      <c r="H115">
        <v>2435.4</v>
      </c>
      <c r="I115" t="s">
        <v>650</v>
      </c>
    </row>
    <row r="116" spans="3:9" x14ac:dyDescent="0.3">
      <c r="C116">
        <v>92</v>
      </c>
      <c r="D116">
        <v>3535.37</v>
      </c>
      <c r="E116" t="s">
        <v>650</v>
      </c>
      <c r="F116">
        <v>3599.71</v>
      </c>
      <c r="G116" t="s">
        <v>650</v>
      </c>
      <c r="H116">
        <v>2858.44</v>
      </c>
      <c r="I116" t="s">
        <v>650</v>
      </c>
    </row>
    <row r="117" spans="3:9" x14ac:dyDescent="0.3">
      <c r="C117">
        <v>93</v>
      </c>
      <c r="D117">
        <v>2046.78</v>
      </c>
      <c r="E117" t="s">
        <v>650</v>
      </c>
      <c r="F117">
        <v>3667.54</v>
      </c>
      <c r="G117" t="s">
        <v>650</v>
      </c>
      <c r="H117">
        <v>3860.48</v>
      </c>
      <c r="I117" t="s">
        <v>650</v>
      </c>
    </row>
    <row r="118" spans="3:9" x14ac:dyDescent="0.3">
      <c r="C118">
        <v>94</v>
      </c>
      <c r="D118">
        <v>2741.54</v>
      </c>
      <c r="E118" t="s">
        <v>650</v>
      </c>
      <c r="F118">
        <v>3622.56</v>
      </c>
      <c r="G118" t="s">
        <v>650</v>
      </c>
      <c r="H118">
        <v>1677.9</v>
      </c>
      <c r="I118" t="s">
        <v>650</v>
      </c>
    </row>
    <row r="119" spans="3:9" x14ac:dyDescent="0.3">
      <c r="C119">
        <v>95</v>
      </c>
      <c r="D119">
        <v>2862.75</v>
      </c>
      <c r="E119" t="s">
        <v>650</v>
      </c>
      <c r="F119">
        <v>2568.96</v>
      </c>
      <c r="G119" t="s">
        <v>650</v>
      </c>
      <c r="H119">
        <v>2518.38</v>
      </c>
      <c r="I119" t="s">
        <v>650</v>
      </c>
    </row>
    <row r="120" spans="3:9" x14ac:dyDescent="0.3">
      <c r="C120">
        <v>96</v>
      </c>
      <c r="D120">
        <v>4367.7700000000004</v>
      </c>
      <c r="E120" t="s">
        <v>650</v>
      </c>
      <c r="F120">
        <v>3150.47</v>
      </c>
      <c r="G120" t="s">
        <v>650</v>
      </c>
      <c r="H120">
        <v>3063.44</v>
      </c>
      <c r="I120" t="s">
        <v>650</v>
      </c>
    </row>
    <row r="121" spans="3:9" x14ac:dyDescent="0.3">
      <c r="C121">
        <v>97</v>
      </c>
      <c r="D121">
        <v>2731.4</v>
      </c>
      <c r="E121" t="s">
        <v>650</v>
      </c>
      <c r="F121">
        <v>2641.51</v>
      </c>
      <c r="G121" t="s">
        <v>650</v>
      </c>
      <c r="H121">
        <v>4351.97</v>
      </c>
      <c r="I121" t="s">
        <v>650</v>
      </c>
    </row>
    <row r="122" spans="3:9" x14ac:dyDescent="0.3">
      <c r="C122">
        <v>98</v>
      </c>
      <c r="D122">
        <v>1852.49</v>
      </c>
      <c r="E122" t="s">
        <v>650</v>
      </c>
      <c r="F122">
        <v>2928.41</v>
      </c>
      <c r="G122" t="s">
        <v>650</v>
      </c>
      <c r="H122">
        <v>3284.11</v>
      </c>
      <c r="I122" t="s">
        <v>650</v>
      </c>
    </row>
    <row r="123" spans="3:9" x14ac:dyDescent="0.3">
      <c r="C123">
        <v>99</v>
      </c>
      <c r="D123">
        <v>3191.23</v>
      </c>
      <c r="E123" t="s">
        <v>650</v>
      </c>
      <c r="F123">
        <v>3108.58</v>
      </c>
      <c r="G123" t="s">
        <v>650</v>
      </c>
      <c r="H123">
        <v>2565.4499999999998</v>
      </c>
      <c r="I123" t="s">
        <v>650</v>
      </c>
    </row>
    <row r="124" spans="3:9" x14ac:dyDescent="0.3">
      <c r="C124">
        <v>100</v>
      </c>
      <c r="D124">
        <v>3165.2</v>
      </c>
      <c r="E124" t="s">
        <v>650</v>
      </c>
      <c r="F124">
        <v>3317.69</v>
      </c>
      <c r="G124" t="s">
        <v>650</v>
      </c>
      <c r="H124">
        <v>3486.64</v>
      </c>
      <c r="I124" t="s">
        <v>650</v>
      </c>
    </row>
    <row r="125" spans="3:9" x14ac:dyDescent="0.3">
      <c r="C125">
        <v>101</v>
      </c>
      <c r="D125">
        <v>2779.58</v>
      </c>
      <c r="E125" t="s">
        <v>650</v>
      </c>
      <c r="F125">
        <v>1974.19</v>
      </c>
      <c r="G125" t="s">
        <v>650</v>
      </c>
      <c r="H125">
        <v>2668.81</v>
      </c>
      <c r="I125" t="s">
        <v>650</v>
      </c>
    </row>
    <row r="126" spans="3:9" x14ac:dyDescent="0.3">
      <c r="C126">
        <v>102</v>
      </c>
      <c r="D126">
        <v>3500.65</v>
      </c>
      <c r="E126" t="s">
        <v>650</v>
      </c>
      <c r="F126">
        <v>3008.65</v>
      </c>
      <c r="G126" t="s">
        <v>650</v>
      </c>
      <c r="H126">
        <v>3321.19</v>
      </c>
      <c r="I126" t="s">
        <v>650</v>
      </c>
    </row>
    <row r="127" spans="3:9" x14ac:dyDescent="0.3">
      <c r="C127">
        <v>103</v>
      </c>
      <c r="D127">
        <v>2818.55</v>
      </c>
      <c r="E127" t="s">
        <v>650</v>
      </c>
      <c r="F127">
        <v>1591.19</v>
      </c>
      <c r="G127" t="s">
        <v>650</v>
      </c>
      <c r="H127">
        <v>4346.3999999999996</v>
      </c>
      <c r="I127" t="s">
        <v>650</v>
      </c>
    </row>
    <row r="128" spans="3:9" x14ac:dyDescent="0.3">
      <c r="C128">
        <v>104</v>
      </c>
      <c r="D128">
        <v>2092.5300000000002</v>
      </c>
      <c r="E128" t="s">
        <v>650</v>
      </c>
      <c r="F128">
        <v>4050.37</v>
      </c>
      <c r="G128" t="s">
        <v>650</v>
      </c>
      <c r="H128">
        <v>3204.62</v>
      </c>
      <c r="I128" t="s">
        <v>650</v>
      </c>
    </row>
    <row r="129" spans="3:9" x14ac:dyDescent="0.3">
      <c r="C129">
        <v>105</v>
      </c>
      <c r="D129">
        <v>3532.81</v>
      </c>
      <c r="E129" t="s">
        <v>650</v>
      </c>
      <c r="F129">
        <v>3492.97</v>
      </c>
      <c r="G129" t="s">
        <v>650</v>
      </c>
      <c r="H129">
        <v>2644.76</v>
      </c>
      <c r="I129" t="s">
        <v>650</v>
      </c>
    </row>
    <row r="130" spans="3:9" x14ac:dyDescent="0.3">
      <c r="C130">
        <v>106</v>
      </c>
      <c r="D130">
        <v>4238.97</v>
      </c>
      <c r="E130" t="s">
        <v>650</v>
      </c>
      <c r="F130">
        <v>2679.55</v>
      </c>
      <c r="G130" t="s">
        <v>650</v>
      </c>
      <c r="H130">
        <v>2418.8200000000002</v>
      </c>
      <c r="I130" t="s">
        <v>650</v>
      </c>
    </row>
    <row r="131" spans="3:9" x14ac:dyDescent="0.3">
      <c r="C131">
        <v>107</v>
      </c>
      <c r="D131">
        <v>2906.73</v>
      </c>
      <c r="E131" t="s">
        <v>650</v>
      </c>
      <c r="F131">
        <v>2665.97</v>
      </c>
      <c r="G131" t="s">
        <v>650</v>
      </c>
      <c r="H131">
        <v>2310.64</v>
      </c>
      <c r="I131" t="s">
        <v>650</v>
      </c>
    </row>
    <row r="132" spans="3:9" x14ac:dyDescent="0.3">
      <c r="C132">
        <v>108</v>
      </c>
      <c r="D132">
        <v>2351.13</v>
      </c>
      <c r="E132" t="s">
        <v>650</v>
      </c>
      <c r="F132">
        <v>2078.4499999999998</v>
      </c>
      <c r="G132" t="s">
        <v>650</v>
      </c>
      <c r="H132">
        <v>4301.2700000000004</v>
      </c>
      <c r="I132" t="s">
        <v>650</v>
      </c>
    </row>
    <row r="133" spans="3:9" x14ac:dyDescent="0.3">
      <c r="C133">
        <v>109</v>
      </c>
      <c r="D133">
        <v>3065.34</v>
      </c>
      <c r="E133" t="s">
        <v>650</v>
      </c>
      <c r="F133">
        <v>1916.11</v>
      </c>
      <c r="G133" t="s">
        <v>650</v>
      </c>
      <c r="H133">
        <v>4281.42</v>
      </c>
      <c r="I133" t="s">
        <v>650</v>
      </c>
    </row>
    <row r="134" spans="3:9" x14ac:dyDescent="0.3">
      <c r="C134">
        <v>110</v>
      </c>
      <c r="D134">
        <v>2454.11</v>
      </c>
      <c r="E134" t="s">
        <v>650</v>
      </c>
      <c r="F134">
        <v>3226.11</v>
      </c>
      <c r="G134" t="s">
        <v>650</v>
      </c>
      <c r="H134">
        <v>1834.46</v>
      </c>
      <c r="I134" t="s">
        <v>650</v>
      </c>
    </row>
    <row r="135" spans="3:9" x14ac:dyDescent="0.3">
      <c r="C135">
        <v>111</v>
      </c>
      <c r="D135">
        <v>2943.98</v>
      </c>
      <c r="E135" t="s">
        <v>650</v>
      </c>
      <c r="F135">
        <v>2680.61</v>
      </c>
      <c r="G135" t="s">
        <v>650</v>
      </c>
      <c r="H135">
        <v>2113.5300000000002</v>
      </c>
      <c r="I135" t="s">
        <v>650</v>
      </c>
    </row>
    <row r="136" spans="3:9" x14ac:dyDescent="0.3">
      <c r="C136">
        <v>112</v>
      </c>
      <c r="D136">
        <v>3123.78</v>
      </c>
      <c r="E136" t="s">
        <v>650</v>
      </c>
      <c r="F136">
        <v>2487.56</v>
      </c>
      <c r="G136" t="s">
        <v>650</v>
      </c>
      <c r="H136">
        <v>4116.04</v>
      </c>
      <c r="I136" t="s">
        <v>650</v>
      </c>
    </row>
    <row r="137" spans="3:9" x14ac:dyDescent="0.3">
      <c r="C137">
        <v>113</v>
      </c>
      <c r="D137">
        <v>2210.29</v>
      </c>
      <c r="E137" t="s">
        <v>650</v>
      </c>
      <c r="F137">
        <v>4186.0600000000004</v>
      </c>
      <c r="G137" t="s">
        <v>650</v>
      </c>
      <c r="H137">
        <v>2559.46</v>
      </c>
      <c r="I137" t="s">
        <v>650</v>
      </c>
    </row>
    <row r="138" spans="3:9" x14ac:dyDescent="0.3">
      <c r="C138">
        <v>114</v>
      </c>
      <c r="D138">
        <v>2132.6799999999998</v>
      </c>
      <c r="E138" t="s">
        <v>650</v>
      </c>
      <c r="F138">
        <v>2163.79</v>
      </c>
      <c r="G138" t="s">
        <v>650</v>
      </c>
      <c r="H138">
        <v>3331.19</v>
      </c>
      <c r="I138" t="s">
        <v>650</v>
      </c>
    </row>
    <row r="139" spans="3:9" x14ac:dyDescent="0.3">
      <c r="C139">
        <v>115</v>
      </c>
      <c r="D139">
        <v>2652.57</v>
      </c>
      <c r="E139" t="s">
        <v>650</v>
      </c>
      <c r="F139">
        <v>2320.4</v>
      </c>
      <c r="G139" t="s">
        <v>650</v>
      </c>
      <c r="H139">
        <v>3494.03</v>
      </c>
      <c r="I139" t="s">
        <v>650</v>
      </c>
    </row>
    <row r="140" spans="3:9" x14ac:dyDescent="0.3">
      <c r="C140">
        <v>116</v>
      </c>
      <c r="D140">
        <v>2627.63</v>
      </c>
      <c r="E140" t="s">
        <v>650</v>
      </c>
      <c r="F140">
        <v>3293.21</v>
      </c>
      <c r="G140" t="s">
        <v>650</v>
      </c>
      <c r="H140">
        <v>2549.15</v>
      </c>
      <c r="I140" t="s">
        <v>650</v>
      </c>
    </row>
    <row r="141" spans="3:9" x14ac:dyDescent="0.3">
      <c r="C141">
        <v>117</v>
      </c>
      <c r="D141">
        <v>3434.41</v>
      </c>
      <c r="E141" t="s">
        <v>650</v>
      </c>
      <c r="F141">
        <v>3769.91</v>
      </c>
      <c r="G141" t="s">
        <v>650</v>
      </c>
      <c r="H141">
        <v>4336.84</v>
      </c>
      <c r="I141" t="s">
        <v>650</v>
      </c>
    </row>
    <row r="142" spans="3:9" x14ac:dyDescent="0.3">
      <c r="C142">
        <v>118</v>
      </c>
      <c r="D142">
        <v>2638.27</v>
      </c>
      <c r="E142" t="s">
        <v>650</v>
      </c>
      <c r="F142">
        <v>3551.08</v>
      </c>
      <c r="G142" t="s">
        <v>650</v>
      </c>
      <c r="H142">
        <v>3179.25</v>
      </c>
      <c r="I142" t="s">
        <v>650</v>
      </c>
    </row>
    <row r="143" spans="3:9" x14ac:dyDescent="0.3">
      <c r="C143">
        <v>119</v>
      </c>
      <c r="D143">
        <v>2498.62</v>
      </c>
      <c r="E143" t="s">
        <v>650</v>
      </c>
      <c r="F143">
        <v>3038.99</v>
      </c>
      <c r="G143" t="s">
        <v>650</v>
      </c>
      <c r="H143">
        <v>2751.98</v>
      </c>
      <c r="I143" t="s">
        <v>650</v>
      </c>
    </row>
    <row r="144" spans="3:9" x14ac:dyDescent="0.3">
      <c r="C144">
        <v>120</v>
      </c>
      <c r="D144">
        <v>2936.2</v>
      </c>
      <c r="E144" t="s">
        <v>650</v>
      </c>
      <c r="F144">
        <v>2180.59</v>
      </c>
      <c r="G144" t="s">
        <v>650</v>
      </c>
      <c r="H144">
        <v>4114.45</v>
      </c>
      <c r="I144" t="s">
        <v>650</v>
      </c>
    </row>
    <row r="145" spans="3:9" x14ac:dyDescent="0.3">
      <c r="C145">
        <v>121</v>
      </c>
      <c r="D145">
        <v>2850.25</v>
      </c>
      <c r="E145" t="s">
        <v>650</v>
      </c>
      <c r="F145">
        <v>1812.63</v>
      </c>
      <c r="G145" t="s">
        <v>650</v>
      </c>
      <c r="H145">
        <v>1773.45</v>
      </c>
      <c r="I145" t="s">
        <v>650</v>
      </c>
    </row>
    <row r="146" spans="3:9" x14ac:dyDescent="0.3">
      <c r="C146">
        <v>122</v>
      </c>
      <c r="D146">
        <v>2826.63</v>
      </c>
      <c r="E146" t="s">
        <v>650</v>
      </c>
      <c r="F146">
        <v>2385.5</v>
      </c>
      <c r="G146" t="s">
        <v>650</v>
      </c>
      <c r="H146">
        <v>3041.91</v>
      </c>
      <c r="I146" t="s">
        <v>650</v>
      </c>
    </row>
    <row r="147" spans="3:9" x14ac:dyDescent="0.3">
      <c r="C147">
        <v>123</v>
      </c>
      <c r="D147">
        <v>3342.46</v>
      </c>
      <c r="E147" t="s">
        <v>650</v>
      </c>
      <c r="F147">
        <v>3183.38</v>
      </c>
      <c r="G147" t="s">
        <v>650</v>
      </c>
      <c r="H147">
        <v>4151.3100000000004</v>
      </c>
      <c r="I147" t="s">
        <v>650</v>
      </c>
    </row>
    <row r="148" spans="3:9" x14ac:dyDescent="0.3">
      <c r="C148">
        <v>124</v>
      </c>
      <c r="D148">
        <v>3597.03</v>
      </c>
      <c r="E148" t="s">
        <v>650</v>
      </c>
      <c r="F148">
        <v>2342.0100000000002</v>
      </c>
      <c r="G148" t="s">
        <v>650</v>
      </c>
      <c r="H148">
        <v>4072.08</v>
      </c>
      <c r="I148" t="s">
        <v>650</v>
      </c>
    </row>
    <row r="149" spans="3:9" x14ac:dyDescent="0.3">
      <c r="C149">
        <v>125</v>
      </c>
      <c r="D149">
        <v>2520.4</v>
      </c>
      <c r="E149" t="s">
        <v>650</v>
      </c>
      <c r="F149">
        <v>3260.25</v>
      </c>
      <c r="G149" t="s">
        <v>650</v>
      </c>
      <c r="H149">
        <v>2153.15</v>
      </c>
      <c r="I149" t="s">
        <v>650</v>
      </c>
    </row>
    <row r="150" spans="3:9" x14ac:dyDescent="0.3">
      <c r="C150">
        <v>126</v>
      </c>
      <c r="D150">
        <v>2778.24</v>
      </c>
      <c r="E150" t="s">
        <v>650</v>
      </c>
      <c r="F150">
        <v>3012.23</v>
      </c>
      <c r="G150" t="s">
        <v>650</v>
      </c>
      <c r="H150">
        <v>1669.58</v>
      </c>
      <c r="I150" t="s">
        <v>650</v>
      </c>
    </row>
    <row r="151" spans="3:9" x14ac:dyDescent="0.3">
      <c r="C151">
        <v>127</v>
      </c>
      <c r="D151">
        <v>3239.51</v>
      </c>
      <c r="E151" t="s">
        <v>650</v>
      </c>
      <c r="F151">
        <v>2230.98</v>
      </c>
      <c r="G151" t="s">
        <v>650</v>
      </c>
      <c r="H151">
        <v>3469.64</v>
      </c>
      <c r="I151" t="s">
        <v>650</v>
      </c>
    </row>
    <row r="152" spans="3:9" x14ac:dyDescent="0.3">
      <c r="C152">
        <v>128</v>
      </c>
      <c r="D152">
        <v>3999.61</v>
      </c>
      <c r="E152" t="s">
        <v>650</v>
      </c>
      <c r="F152">
        <v>2897.84</v>
      </c>
      <c r="G152" t="s">
        <v>650</v>
      </c>
      <c r="H152">
        <v>3641.43</v>
      </c>
      <c r="I152" t="s">
        <v>650</v>
      </c>
    </row>
    <row r="153" spans="3:9" x14ac:dyDescent="0.3">
      <c r="C153">
        <v>129</v>
      </c>
      <c r="D153">
        <v>3028.75</v>
      </c>
      <c r="E153" t="s">
        <v>650</v>
      </c>
      <c r="F153">
        <v>3158.04</v>
      </c>
      <c r="G153" t="s">
        <v>650</v>
      </c>
      <c r="H153">
        <v>2886.89</v>
      </c>
      <c r="I153" t="s">
        <v>650</v>
      </c>
    </row>
    <row r="154" spans="3:9" x14ac:dyDescent="0.3">
      <c r="C154">
        <v>130</v>
      </c>
      <c r="D154">
        <v>2882.34</v>
      </c>
      <c r="E154" t="s">
        <v>650</v>
      </c>
      <c r="F154">
        <v>3094.12</v>
      </c>
      <c r="G154" t="s">
        <v>650</v>
      </c>
      <c r="H154">
        <v>3680.63</v>
      </c>
      <c r="I154" t="s">
        <v>650</v>
      </c>
    </row>
    <row r="155" spans="3:9" x14ac:dyDescent="0.3">
      <c r="C155">
        <v>131</v>
      </c>
      <c r="D155">
        <v>3731.15</v>
      </c>
      <c r="E155" t="s">
        <v>650</v>
      </c>
      <c r="F155">
        <v>2324.1799999999998</v>
      </c>
      <c r="G155" t="s">
        <v>650</v>
      </c>
      <c r="H155">
        <v>2540.04</v>
      </c>
      <c r="I155" t="s">
        <v>650</v>
      </c>
    </row>
    <row r="156" spans="3:9" x14ac:dyDescent="0.3">
      <c r="C156">
        <v>132</v>
      </c>
      <c r="D156">
        <v>1596.48</v>
      </c>
      <c r="E156" t="s">
        <v>650</v>
      </c>
      <c r="F156">
        <v>2468.87</v>
      </c>
      <c r="G156" t="s">
        <v>650</v>
      </c>
      <c r="H156">
        <v>4269.8900000000003</v>
      </c>
      <c r="I156" t="s">
        <v>650</v>
      </c>
    </row>
    <row r="157" spans="3:9" x14ac:dyDescent="0.3">
      <c r="C157">
        <v>133</v>
      </c>
      <c r="D157">
        <v>2608.04</v>
      </c>
      <c r="E157" t="s">
        <v>650</v>
      </c>
      <c r="F157">
        <v>4201.1400000000003</v>
      </c>
      <c r="G157" t="s">
        <v>650</v>
      </c>
      <c r="H157">
        <v>2492.48</v>
      </c>
      <c r="I157" t="s">
        <v>650</v>
      </c>
    </row>
    <row r="158" spans="3:9" x14ac:dyDescent="0.3">
      <c r="C158">
        <v>134</v>
      </c>
      <c r="D158">
        <v>2761.19</v>
      </c>
      <c r="E158" t="s">
        <v>650</v>
      </c>
      <c r="F158">
        <v>2198.11</v>
      </c>
      <c r="G158" t="s">
        <v>650</v>
      </c>
      <c r="H158">
        <v>3794.45</v>
      </c>
      <c r="I158" t="s">
        <v>650</v>
      </c>
    </row>
    <row r="159" spans="3:9" x14ac:dyDescent="0.3">
      <c r="C159">
        <v>135</v>
      </c>
      <c r="D159">
        <v>2376.48</v>
      </c>
      <c r="E159" t="s">
        <v>650</v>
      </c>
      <c r="F159">
        <v>3195.57</v>
      </c>
      <c r="G159" t="s">
        <v>650</v>
      </c>
      <c r="H159">
        <v>2791.9</v>
      </c>
      <c r="I159" t="s">
        <v>650</v>
      </c>
    </row>
    <row r="160" spans="3:9" x14ac:dyDescent="0.3">
      <c r="C160">
        <v>136</v>
      </c>
      <c r="D160">
        <v>3996.01</v>
      </c>
      <c r="E160" t="s">
        <v>650</v>
      </c>
      <c r="F160">
        <v>3650.18</v>
      </c>
      <c r="G160" t="s">
        <v>650</v>
      </c>
      <c r="H160">
        <v>3581.83</v>
      </c>
      <c r="I160" t="s">
        <v>650</v>
      </c>
    </row>
    <row r="161" spans="3:9" x14ac:dyDescent="0.3">
      <c r="C161">
        <v>137</v>
      </c>
      <c r="D161">
        <v>3201.43</v>
      </c>
      <c r="E161" t="s">
        <v>650</v>
      </c>
      <c r="F161">
        <v>3447.52</v>
      </c>
      <c r="G161" t="s">
        <v>650</v>
      </c>
      <c r="H161">
        <v>4528.68</v>
      </c>
      <c r="I161" t="s">
        <v>650</v>
      </c>
    </row>
    <row r="162" spans="3:9" x14ac:dyDescent="0.3">
      <c r="C162">
        <v>138</v>
      </c>
      <c r="D162">
        <v>2839.13</v>
      </c>
      <c r="E162" t="s">
        <v>650</v>
      </c>
      <c r="F162">
        <v>4212.55</v>
      </c>
      <c r="G162" t="s">
        <v>650</v>
      </c>
      <c r="H162">
        <v>3181.27</v>
      </c>
      <c r="I162" t="s">
        <v>650</v>
      </c>
    </row>
    <row r="163" spans="3:9" x14ac:dyDescent="0.3">
      <c r="C163">
        <v>139</v>
      </c>
      <c r="D163">
        <v>3209.04</v>
      </c>
      <c r="E163" t="s">
        <v>650</v>
      </c>
      <c r="F163">
        <v>2184.6</v>
      </c>
      <c r="G163" t="s">
        <v>650</v>
      </c>
      <c r="H163">
        <v>2611.75</v>
      </c>
      <c r="I163" t="s">
        <v>650</v>
      </c>
    </row>
    <row r="164" spans="3:9" x14ac:dyDescent="0.3">
      <c r="C164">
        <v>140</v>
      </c>
      <c r="D164">
        <v>2881.22</v>
      </c>
      <c r="E164" t="s">
        <v>650</v>
      </c>
      <c r="F164">
        <v>3150.23</v>
      </c>
      <c r="G164" t="s">
        <v>650</v>
      </c>
      <c r="H164">
        <v>5036.7299999999996</v>
      </c>
      <c r="I164" t="s">
        <v>650</v>
      </c>
    </row>
    <row r="165" spans="3:9" x14ac:dyDescent="0.3">
      <c r="C165">
        <v>141</v>
      </c>
      <c r="D165">
        <v>1915.88</v>
      </c>
      <c r="E165" t="s">
        <v>650</v>
      </c>
      <c r="F165">
        <v>2133.46</v>
      </c>
      <c r="G165" t="s">
        <v>650</v>
      </c>
      <c r="H165">
        <v>4356.07</v>
      </c>
      <c r="I165" t="s">
        <v>650</v>
      </c>
    </row>
    <row r="166" spans="3:9" x14ac:dyDescent="0.3">
      <c r="C166">
        <v>142</v>
      </c>
      <c r="D166">
        <v>2986.97</v>
      </c>
      <c r="E166" t="s">
        <v>650</v>
      </c>
      <c r="F166">
        <v>4016.69</v>
      </c>
      <c r="G166" t="s">
        <v>650</v>
      </c>
      <c r="H166">
        <v>3271.84</v>
      </c>
      <c r="I166" t="s">
        <v>650</v>
      </c>
    </row>
    <row r="167" spans="3:9" x14ac:dyDescent="0.3">
      <c r="C167">
        <v>143</v>
      </c>
      <c r="D167">
        <v>2308.92</v>
      </c>
      <c r="E167" t="s">
        <v>650</v>
      </c>
      <c r="F167">
        <v>3567.96</v>
      </c>
      <c r="G167" t="s">
        <v>650</v>
      </c>
      <c r="H167">
        <v>4286.12</v>
      </c>
      <c r="I167" t="s">
        <v>650</v>
      </c>
    </row>
    <row r="168" spans="3:9" x14ac:dyDescent="0.3">
      <c r="C168">
        <v>144</v>
      </c>
      <c r="D168">
        <v>3527.62</v>
      </c>
      <c r="E168" t="s">
        <v>650</v>
      </c>
      <c r="F168">
        <v>2905.5</v>
      </c>
      <c r="G168" t="s">
        <v>650</v>
      </c>
      <c r="H168">
        <v>3588.71</v>
      </c>
      <c r="I168" t="s">
        <v>650</v>
      </c>
    </row>
    <row r="169" spans="3:9" x14ac:dyDescent="0.3">
      <c r="C169">
        <v>145</v>
      </c>
      <c r="D169">
        <v>1930.27</v>
      </c>
      <c r="E169" t="s">
        <v>650</v>
      </c>
      <c r="F169">
        <v>3730.24</v>
      </c>
      <c r="G169" t="s">
        <v>650</v>
      </c>
      <c r="H169">
        <v>3004.09</v>
      </c>
      <c r="I169" t="s">
        <v>650</v>
      </c>
    </row>
    <row r="170" spans="3:9" x14ac:dyDescent="0.3">
      <c r="C170">
        <v>146</v>
      </c>
      <c r="D170">
        <v>3217.81</v>
      </c>
      <c r="E170" t="s">
        <v>650</v>
      </c>
      <c r="F170">
        <v>2923.95</v>
      </c>
      <c r="G170" t="s">
        <v>650</v>
      </c>
      <c r="H170">
        <v>4064.36</v>
      </c>
      <c r="I170" t="s">
        <v>650</v>
      </c>
    </row>
    <row r="171" spans="3:9" x14ac:dyDescent="0.3">
      <c r="C171">
        <v>147</v>
      </c>
      <c r="D171">
        <v>3477</v>
      </c>
      <c r="E171" t="s">
        <v>650</v>
      </c>
      <c r="F171">
        <v>4873.8</v>
      </c>
      <c r="G171" t="s">
        <v>650</v>
      </c>
      <c r="H171">
        <v>5332.36</v>
      </c>
      <c r="I171" t="s">
        <v>650</v>
      </c>
    </row>
    <row r="172" spans="3:9" x14ac:dyDescent="0.3">
      <c r="C172">
        <v>148</v>
      </c>
      <c r="D172">
        <v>3077.8</v>
      </c>
      <c r="E172" t="s">
        <v>650</v>
      </c>
      <c r="F172">
        <v>4104.3500000000004</v>
      </c>
      <c r="G172" t="s">
        <v>650</v>
      </c>
      <c r="H172">
        <v>3657.31</v>
      </c>
      <c r="I172" t="s">
        <v>650</v>
      </c>
    </row>
    <row r="173" spans="3:9" x14ac:dyDescent="0.3">
      <c r="C173">
        <v>149</v>
      </c>
      <c r="D173">
        <v>2543.16</v>
      </c>
      <c r="E173" t="s">
        <v>650</v>
      </c>
      <c r="F173">
        <v>3023.9</v>
      </c>
      <c r="G173" t="s">
        <v>650</v>
      </c>
      <c r="H173">
        <v>4593.05</v>
      </c>
      <c r="I173" t="s">
        <v>650</v>
      </c>
    </row>
    <row r="174" spans="3:9" x14ac:dyDescent="0.3">
      <c r="C174">
        <v>150</v>
      </c>
      <c r="D174">
        <v>1910.83</v>
      </c>
      <c r="E174" t="s">
        <v>650</v>
      </c>
      <c r="F174">
        <v>3897.5</v>
      </c>
      <c r="G174" t="s">
        <v>650</v>
      </c>
      <c r="H174">
        <v>3039.74</v>
      </c>
      <c r="I174" t="s">
        <v>650</v>
      </c>
    </row>
    <row r="175" spans="3:9" x14ac:dyDescent="0.3">
      <c r="C175">
        <v>151</v>
      </c>
      <c r="D175">
        <v>2554</v>
      </c>
      <c r="E175" t="s">
        <v>650</v>
      </c>
      <c r="F175">
        <v>2465.11</v>
      </c>
      <c r="G175" t="s">
        <v>650</v>
      </c>
      <c r="H175">
        <v>1936.68</v>
      </c>
      <c r="I175" t="s">
        <v>650</v>
      </c>
    </row>
    <row r="176" spans="3:9" x14ac:dyDescent="0.3">
      <c r="C176">
        <v>152</v>
      </c>
      <c r="D176">
        <v>3293.11</v>
      </c>
      <c r="E176" t="s">
        <v>650</v>
      </c>
      <c r="F176">
        <v>3723.56</v>
      </c>
      <c r="G176" t="s">
        <v>650</v>
      </c>
      <c r="H176">
        <v>2685.49</v>
      </c>
      <c r="I176" t="s">
        <v>650</v>
      </c>
    </row>
    <row r="177" spans="3:9" x14ac:dyDescent="0.3">
      <c r="C177">
        <v>153</v>
      </c>
      <c r="D177">
        <v>2674.09</v>
      </c>
      <c r="E177" t="s">
        <v>650</v>
      </c>
      <c r="F177">
        <v>2427.1999999999998</v>
      </c>
      <c r="G177" t="s">
        <v>650</v>
      </c>
      <c r="H177">
        <v>2082.83</v>
      </c>
      <c r="I177" t="s">
        <v>650</v>
      </c>
    </row>
    <row r="178" spans="3:9" x14ac:dyDescent="0.3">
      <c r="C178">
        <v>154</v>
      </c>
      <c r="D178">
        <v>2635.32</v>
      </c>
      <c r="E178" t="s">
        <v>650</v>
      </c>
      <c r="F178">
        <v>3392.78</v>
      </c>
      <c r="G178" t="s">
        <v>650</v>
      </c>
      <c r="H178">
        <v>3544.51</v>
      </c>
      <c r="I178" t="s">
        <v>650</v>
      </c>
    </row>
    <row r="179" spans="3:9" x14ac:dyDescent="0.3">
      <c r="C179">
        <v>155</v>
      </c>
      <c r="D179">
        <v>3092.55</v>
      </c>
      <c r="E179" t="s">
        <v>650</v>
      </c>
      <c r="F179">
        <v>3675.89</v>
      </c>
      <c r="G179" t="s">
        <v>650</v>
      </c>
      <c r="H179">
        <v>2141.35</v>
      </c>
      <c r="I179" t="s">
        <v>650</v>
      </c>
    </row>
    <row r="180" spans="3:9" x14ac:dyDescent="0.3">
      <c r="C180">
        <v>156</v>
      </c>
      <c r="D180">
        <v>3011.1</v>
      </c>
      <c r="E180" t="s">
        <v>650</v>
      </c>
      <c r="F180">
        <v>2507.86</v>
      </c>
      <c r="G180" t="s">
        <v>650</v>
      </c>
      <c r="H180">
        <v>3372.88</v>
      </c>
      <c r="I180" t="s">
        <v>650</v>
      </c>
    </row>
    <row r="181" spans="3:9" x14ac:dyDescent="0.3">
      <c r="C181">
        <v>157</v>
      </c>
      <c r="D181">
        <v>2989.79</v>
      </c>
      <c r="E181" t="s">
        <v>650</v>
      </c>
      <c r="F181">
        <v>3820.31</v>
      </c>
      <c r="G181" t="s">
        <v>650</v>
      </c>
      <c r="H181">
        <v>2938.37</v>
      </c>
      <c r="I181" t="s">
        <v>650</v>
      </c>
    </row>
    <row r="182" spans="3:9" x14ac:dyDescent="0.3">
      <c r="C182">
        <v>158</v>
      </c>
      <c r="D182">
        <v>2722.92</v>
      </c>
      <c r="E182" t="s">
        <v>650</v>
      </c>
      <c r="F182">
        <v>3429.65</v>
      </c>
      <c r="G182" t="s">
        <v>650</v>
      </c>
      <c r="H182">
        <v>2044.59</v>
      </c>
      <c r="I182" t="s">
        <v>650</v>
      </c>
    </row>
    <row r="183" spans="3:9" x14ac:dyDescent="0.3">
      <c r="C183">
        <v>159</v>
      </c>
      <c r="D183">
        <v>2365.02</v>
      </c>
      <c r="E183" t="s">
        <v>650</v>
      </c>
      <c r="F183">
        <v>2507.69</v>
      </c>
      <c r="G183" t="s">
        <v>650</v>
      </c>
      <c r="H183">
        <v>4308.6099999999997</v>
      </c>
      <c r="I183" t="s">
        <v>650</v>
      </c>
    </row>
    <row r="184" spans="3:9" x14ac:dyDescent="0.3">
      <c r="C184">
        <v>160</v>
      </c>
      <c r="D184">
        <v>2758.6</v>
      </c>
      <c r="E184" t="s">
        <v>650</v>
      </c>
      <c r="F184">
        <v>4521.38</v>
      </c>
      <c r="G184" t="s">
        <v>650</v>
      </c>
      <c r="H184">
        <v>5115.97</v>
      </c>
      <c r="I184" t="s">
        <v>650</v>
      </c>
    </row>
    <row r="185" spans="3:9" x14ac:dyDescent="0.3">
      <c r="C185">
        <v>161</v>
      </c>
      <c r="D185">
        <v>2321.29</v>
      </c>
      <c r="E185" t="s">
        <v>650</v>
      </c>
      <c r="F185">
        <v>4275.5600000000004</v>
      </c>
      <c r="G185" t="s">
        <v>650</v>
      </c>
      <c r="H185">
        <v>2639.52</v>
      </c>
      <c r="I185" t="s">
        <v>650</v>
      </c>
    </row>
    <row r="186" spans="3:9" x14ac:dyDescent="0.3">
      <c r="C186">
        <v>162</v>
      </c>
      <c r="D186">
        <v>3181.99</v>
      </c>
      <c r="E186" t="s">
        <v>650</v>
      </c>
      <c r="F186">
        <v>3131.76</v>
      </c>
      <c r="G186" t="s">
        <v>650</v>
      </c>
      <c r="H186">
        <v>4496.13</v>
      </c>
      <c r="I186" t="s">
        <v>650</v>
      </c>
    </row>
    <row r="187" spans="3:9" x14ac:dyDescent="0.3">
      <c r="C187">
        <v>163</v>
      </c>
      <c r="D187">
        <v>2965.84</v>
      </c>
      <c r="E187" t="s">
        <v>650</v>
      </c>
      <c r="F187">
        <v>4057.26</v>
      </c>
      <c r="G187" t="s">
        <v>650</v>
      </c>
      <c r="H187">
        <v>3560.26</v>
      </c>
      <c r="I187" t="s">
        <v>650</v>
      </c>
    </row>
    <row r="188" spans="3:9" x14ac:dyDescent="0.3">
      <c r="C188">
        <v>164</v>
      </c>
      <c r="D188">
        <v>2683.07</v>
      </c>
      <c r="E188" t="s">
        <v>650</v>
      </c>
      <c r="F188">
        <v>3173.02</v>
      </c>
      <c r="G188" t="s">
        <v>650</v>
      </c>
      <c r="H188">
        <v>3124.3</v>
      </c>
      <c r="I188" t="s">
        <v>650</v>
      </c>
    </row>
    <row r="189" spans="3:9" x14ac:dyDescent="0.3">
      <c r="C189">
        <v>165</v>
      </c>
      <c r="D189">
        <v>1659.43</v>
      </c>
      <c r="E189" t="s">
        <v>650</v>
      </c>
      <c r="F189">
        <v>3198.19</v>
      </c>
      <c r="G189" t="s">
        <v>650</v>
      </c>
      <c r="H189">
        <v>3652.63</v>
      </c>
      <c r="I189" t="s">
        <v>650</v>
      </c>
    </row>
    <row r="190" spans="3:9" x14ac:dyDescent="0.3">
      <c r="C190">
        <v>166</v>
      </c>
      <c r="D190">
        <v>2995.29</v>
      </c>
      <c r="E190" t="s">
        <v>650</v>
      </c>
      <c r="F190">
        <v>3023.65</v>
      </c>
      <c r="G190" t="s">
        <v>650</v>
      </c>
      <c r="H190">
        <v>2861.86</v>
      </c>
      <c r="I190" t="s">
        <v>650</v>
      </c>
    </row>
    <row r="191" spans="3:9" x14ac:dyDescent="0.3">
      <c r="C191">
        <v>167</v>
      </c>
      <c r="D191">
        <v>3114.4</v>
      </c>
      <c r="E191" t="s">
        <v>650</v>
      </c>
      <c r="F191">
        <v>2975.23</v>
      </c>
      <c r="G191" t="s">
        <v>650</v>
      </c>
      <c r="H191">
        <v>3462.52</v>
      </c>
      <c r="I191" t="s">
        <v>650</v>
      </c>
    </row>
    <row r="192" spans="3:9" x14ac:dyDescent="0.3">
      <c r="C192">
        <v>168</v>
      </c>
      <c r="D192">
        <v>3153.52</v>
      </c>
      <c r="E192" t="s">
        <v>650</v>
      </c>
      <c r="F192">
        <v>2300.06</v>
      </c>
      <c r="G192" t="s">
        <v>650</v>
      </c>
      <c r="H192">
        <v>2228.81</v>
      </c>
      <c r="I192" t="s">
        <v>650</v>
      </c>
    </row>
    <row r="193" spans="3:9" x14ac:dyDescent="0.3">
      <c r="C193">
        <v>169</v>
      </c>
      <c r="D193">
        <v>2857.13</v>
      </c>
      <c r="E193" t="s">
        <v>650</v>
      </c>
      <c r="F193">
        <v>4282.09</v>
      </c>
      <c r="G193" t="s">
        <v>650</v>
      </c>
      <c r="H193">
        <v>3148.14</v>
      </c>
      <c r="I193" t="s">
        <v>650</v>
      </c>
    </row>
    <row r="194" spans="3:9" x14ac:dyDescent="0.3">
      <c r="C194">
        <v>170</v>
      </c>
      <c r="D194">
        <v>3254.86</v>
      </c>
      <c r="E194" t="s">
        <v>650</v>
      </c>
      <c r="F194">
        <v>2345.87</v>
      </c>
      <c r="G194" t="s">
        <v>650</v>
      </c>
      <c r="H194">
        <v>3286.16</v>
      </c>
      <c r="I194" t="s">
        <v>650</v>
      </c>
    </row>
    <row r="195" spans="3:9" x14ac:dyDescent="0.3">
      <c r="C195">
        <v>171</v>
      </c>
      <c r="D195">
        <v>2716.96</v>
      </c>
      <c r="E195" t="s">
        <v>650</v>
      </c>
      <c r="F195">
        <v>1940.17</v>
      </c>
      <c r="G195" t="s">
        <v>650</v>
      </c>
      <c r="H195">
        <v>3822.29</v>
      </c>
      <c r="I195" t="s">
        <v>650</v>
      </c>
    </row>
    <row r="196" spans="3:9" x14ac:dyDescent="0.3">
      <c r="C196">
        <v>172</v>
      </c>
      <c r="D196">
        <v>2955.95</v>
      </c>
      <c r="E196" t="s">
        <v>650</v>
      </c>
      <c r="F196">
        <v>3192.69</v>
      </c>
      <c r="G196" t="s">
        <v>650</v>
      </c>
      <c r="H196">
        <v>3211.12</v>
      </c>
      <c r="I196" t="s">
        <v>650</v>
      </c>
    </row>
    <row r="197" spans="3:9" x14ac:dyDescent="0.3">
      <c r="C197">
        <v>173</v>
      </c>
      <c r="D197">
        <v>2993.24</v>
      </c>
      <c r="E197" t="s">
        <v>650</v>
      </c>
      <c r="F197">
        <v>2484.6999999999998</v>
      </c>
      <c r="G197" t="s">
        <v>650</v>
      </c>
      <c r="H197">
        <v>3599.03</v>
      </c>
      <c r="I197" t="s">
        <v>650</v>
      </c>
    </row>
    <row r="198" spans="3:9" x14ac:dyDescent="0.3">
      <c r="C198">
        <v>174</v>
      </c>
      <c r="D198">
        <v>3276.03</v>
      </c>
      <c r="E198" t="s">
        <v>650</v>
      </c>
      <c r="F198">
        <v>3931.62</v>
      </c>
      <c r="G198" t="s">
        <v>650</v>
      </c>
      <c r="H198">
        <v>3014.76</v>
      </c>
      <c r="I198" t="s">
        <v>650</v>
      </c>
    </row>
    <row r="199" spans="3:9" x14ac:dyDescent="0.3">
      <c r="C199">
        <v>175</v>
      </c>
      <c r="D199">
        <v>2391.3200000000002</v>
      </c>
      <c r="E199" t="s">
        <v>650</v>
      </c>
      <c r="F199">
        <v>2821.66</v>
      </c>
      <c r="G199" t="s">
        <v>650</v>
      </c>
      <c r="H199">
        <v>3025.21</v>
      </c>
      <c r="I199" t="s">
        <v>650</v>
      </c>
    </row>
    <row r="200" spans="3:9" x14ac:dyDescent="0.3">
      <c r="C200">
        <v>176</v>
      </c>
      <c r="D200">
        <v>3317.23</v>
      </c>
      <c r="E200" t="s">
        <v>650</v>
      </c>
      <c r="F200">
        <v>2781.53</v>
      </c>
      <c r="G200" t="s">
        <v>650</v>
      </c>
      <c r="H200">
        <v>3896.93</v>
      </c>
      <c r="I200" t="s">
        <v>650</v>
      </c>
    </row>
    <row r="201" spans="3:9" x14ac:dyDescent="0.3">
      <c r="C201">
        <v>177</v>
      </c>
      <c r="D201">
        <v>3350.51</v>
      </c>
      <c r="E201" t="s">
        <v>650</v>
      </c>
      <c r="F201">
        <v>3171.26</v>
      </c>
      <c r="G201" t="s">
        <v>650</v>
      </c>
      <c r="H201">
        <v>4270.67</v>
      </c>
      <c r="I201" t="s">
        <v>650</v>
      </c>
    </row>
    <row r="202" spans="3:9" x14ac:dyDescent="0.3">
      <c r="C202">
        <v>178</v>
      </c>
      <c r="D202">
        <v>2704.04</v>
      </c>
      <c r="E202" t="s">
        <v>650</v>
      </c>
      <c r="F202">
        <v>3922.06</v>
      </c>
      <c r="G202" t="s">
        <v>650</v>
      </c>
      <c r="H202">
        <v>5369.75</v>
      </c>
      <c r="I202" t="s">
        <v>650</v>
      </c>
    </row>
    <row r="203" spans="3:9" x14ac:dyDescent="0.3">
      <c r="C203">
        <v>179</v>
      </c>
      <c r="D203">
        <v>3532.8</v>
      </c>
      <c r="E203" t="s">
        <v>650</v>
      </c>
      <c r="F203">
        <v>2948.51</v>
      </c>
      <c r="G203" t="s">
        <v>650</v>
      </c>
      <c r="H203">
        <v>3447.23</v>
      </c>
      <c r="I203" t="s">
        <v>650</v>
      </c>
    </row>
    <row r="204" spans="3:9" x14ac:dyDescent="0.3">
      <c r="C204">
        <v>180</v>
      </c>
      <c r="D204">
        <v>2748.16</v>
      </c>
      <c r="E204" t="s">
        <v>650</v>
      </c>
      <c r="F204">
        <v>3385.2</v>
      </c>
      <c r="G204" t="s">
        <v>650</v>
      </c>
      <c r="H204">
        <v>4056.58</v>
      </c>
      <c r="I204" t="s">
        <v>650</v>
      </c>
    </row>
    <row r="205" spans="3:9" x14ac:dyDescent="0.3">
      <c r="C205">
        <v>181</v>
      </c>
      <c r="D205">
        <v>3076.01</v>
      </c>
      <c r="E205" t="s">
        <v>650</v>
      </c>
      <c r="F205">
        <v>2524.39</v>
      </c>
      <c r="G205" t="s">
        <v>650</v>
      </c>
      <c r="H205">
        <v>4498.3</v>
      </c>
      <c r="I205" t="s">
        <v>650</v>
      </c>
    </row>
    <row r="206" spans="3:9" x14ac:dyDescent="0.3">
      <c r="C206">
        <v>182</v>
      </c>
      <c r="D206">
        <v>2966.72</v>
      </c>
      <c r="E206" t="s">
        <v>650</v>
      </c>
      <c r="F206">
        <v>3444.65</v>
      </c>
      <c r="G206" t="s">
        <v>650</v>
      </c>
      <c r="H206">
        <v>4065.17</v>
      </c>
      <c r="I206" t="s">
        <v>650</v>
      </c>
    </row>
    <row r="207" spans="3:9" x14ac:dyDescent="0.3">
      <c r="C207">
        <v>183</v>
      </c>
      <c r="D207">
        <v>3069.44</v>
      </c>
      <c r="E207" t="s">
        <v>650</v>
      </c>
      <c r="F207">
        <v>1433.88</v>
      </c>
      <c r="G207" t="s">
        <v>650</v>
      </c>
      <c r="H207">
        <v>4198.3</v>
      </c>
      <c r="I207" t="s">
        <v>650</v>
      </c>
    </row>
    <row r="208" spans="3:9" x14ac:dyDescent="0.3">
      <c r="C208">
        <v>184</v>
      </c>
      <c r="D208">
        <v>3022.51</v>
      </c>
      <c r="E208" t="s">
        <v>650</v>
      </c>
      <c r="F208">
        <v>3465.56</v>
      </c>
      <c r="G208" t="s">
        <v>650</v>
      </c>
      <c r="H208">
        <v>3069.43</v>
      </c>
      <c r="I208" t="s">
        <v>650</v>
      </c>
    </row>
    <row r="209" spans="3:9" x14ac:dyDescent="0.3">
      <c r="C209">
        <v>185</v>
      </c>
      <c r="D209">
        <v>2976.67</v>
      </c>
      <c r="E209" t="s">
        <v>650</v>
      </c>
      <c r="F209">
        <v>3387.05</v>
      </c>
      <c r="G209" t="s">
        <v>650</v>
      </c>
      <c r="H209">
        <v>3710.1</v>
      </c>
      <c r="I209" t="s">
        <v>650</v>
      </c>
    </row>
    <row r="210" spans="3:9" x14ac:dyDescent="0.3">
      <c r="C210">
        <v>186</v>
      </c>
      <c r="D210">
        <v>3022.28</v>
      </c>
      <c r="E210" t="s">
        <v>650</v>
      </c>
      <c r="F210">
        <v>2778.75</v>
      </c>
      <c r="G210" t="s">
        <v>650</v>
      </c>
      <c r="H210">
        <v>3647.29</v>
      </c>
      <c r="I210" t="s">
        <v>650</v>
      </c>
    </row>
    <row r="211" spans="3:9" x14ac:dyDescent="0.3">
      <c r="C211">
        <v>187</v>
      </c>
      <c r="D211">
        <v>2897.3</v>
      </c>
      <c r="E211" t="s">
        <v>650</v>
      </c>
      <c r="F211">
        <v>4869.59</v>
      </c>
      <c r="G211" t="s">
        <v>650</v>
      </c>
      <c r="H211">
        <v>2158.11</v>
      </c>
      <c r="I211" t="s">
        <v>650</v>
      </c>
    </row>
    <row r="212" spans="3:9" x14ac:dyDescent="0.3">
      <c r="C212">
        <v>188</v>
      </c>
      <c r="D212">
        <v>2694.2</v>
      </c>
      <c r="E212" t="s">
        <v>650</v>
      </c>
      <c r="F212">
        <v>3380.11</v>
      </c>
      <c r="G212" t="s">
        <v>650</v>
      </c>
      <c r="H212">
        <v>2932.96</v>
      </c>
      <c r="I212" t="s">
        <v>650</v>
      </c>
    </row>
    <row r="213" spans="3:9" x14ac:dyDescent="0.3">
      <c r="C213">
        <v>189</v>
      </c>
      <c r="D213">
        <v>3427.68</v>
      </c>
      <c r="E213" t="s">
        <v>650</v>
      </c>
      <c r="F213">
        <v>3981.76</v>
      </c>
      <c r="G213" t="s">
        <v>650</v>
      </c>
      <c r="H213">
        <v>2281.23</v>
      </c>
      <c r="I213" t="s">
        <v>650</v>
      </c>
    </row>
    <row r="214" spans="3:9" x14ac:dyDescent="0.3">
      <c r="C214">
        <v>190</v>
      </c>
      <c r="D214">
        <v>2615.02</v>
      </c>
      <c r="E214" t="s">
        <v>650</v>
      </c>
      <c r="F214">
        <v>2529.77</v>
      </c>
      <c r="G214" t="s">
        <v>650</v>
      </c>
      <c r="H214">
        <v>4413.55</v>
      </c>
      <c r="I214" t="s">
        <v>650</v>
      </c>
    </row>
    <row r="215" spans="3:9" x14ac:dyDescent="0.3">
      <c r="C215">
        <v>191</v>
      </c>
      <c r="D215">
        <v>2346.0300000000002</v>
      </c>
      <c r="E215" t="s">
        <v>650</v>
      </c>
      <c r="F215">
        <v>2409.8200000000002</v>
      </c>
      <c r="G215" t="s">
        <v>650</v>
      </c>
      <c r="H215">
        <v>1678.05</v>
      </c>
      <c r="I215" t="s">
        <v>650</v>
      </c>
    </row>
    <row r="216" spans="3:9" x14ac:dyDescent="0.3">
      <c r="C216">
        <v>192</v>
      </c>
      <c r="D216">
        <v>3036.53</v>
      </c>
      <c r="E216" t="s">
        <v>650</v>
      </c>
      <c r="F216">
        <v>3604.83</v>
      </c>
      <c r="G216" t="s">
        <v>650</v>
      </c>
      <c r="H216">
        <v>1968.18</v>
      </c>
      <c r="I216" t="s">
        <v>650</v>
      </c>
    </row>
    <row r="217" spans="3:9" x14ac:dyDescent="0.3">
      <c r="C217">
        <v>193</v>
      </c>
      <c r="D217">
        <v>3275.09</v>
      </c>
      <c r="E217" t="s">
        <v>650</v>
      </c>
      <c r="F217">
        <v>2426.88</v>
      </c>
      <c r="G217" t="s">
        <v>650</v>
      </c>
      <c r="H217">
        <v>3820.46</v>
      </c>
      <c r="I217" t="s">
        <v>650</v>
      </c>
    </row>
    <row r="218" spans="3:9" x14ac:dyDescent="0.3">
      <c r="C218">
        <v>194</v>
      </c>
      <c r="D218">
        <v>2123.61</v>
      </c>
      <c r="E218" t="s">
        <v>650</v>
      </c>
      <c r="F218">
        <v>3628.87</v>
      </c>
      <c r="G218" t="s">
        <v>650</v>
      </c>
      <c r="H218">
        <v>3361.31</v>
      </c>
      <c r="I218" t="s">
        <v>650</v>
      </c>
    </row>
    <row r="219" spans="3:9" x14ac:dyDescent="0.3">
      <c r="C219">
        <v>195</v>
      </c>
      <c r="D219">
        <v>3777.62</v>
      </c>
      <c r="E219" t="s">
        <v>650</v>
      </c>
      <c r="F219">
        <v>3830.46</v>
      </c>
      <c r="G219" t="s">
        <v>650</v>
      </c>
      <c r="H219">
        <v>3313.36</v>
      </c>
      <c r="I219" t="s">
        <v>650</v>
      </c>
    </row>
    <row r="220" spans="3:9" x14ac:dyDescent="0.3">
      <c r="C220">
        <v>196</v>
      </c>
      <c r="D220">
        <v>2821.16</v>
      </c>
      <c r="E220" t="s">
        <v>650</v>
      </c>
      <c r="F220">
        <v>3058.25</v>
      </c>
      <c r="G220" t="s">
        <v>650</v>
      </c>
      <c r="H220">
        <v>4304.2</v>
      </c>
      <c r="I220" t="s">
        <v>650</v>
      </c>
    </row>
    <row r="221" spans="3:9" x14ac:dyDescent="0.3">
      <c r="C221">
        <v>197</v>
      </c>
      <c r="D221">
        <v>2791.54</v>
      </c>
      <c r="E221" t="s">
        <v>650</v>
      </c>
      <c r="F221">
        <v>3213.55</v>
      </c>
      <c r="G221" t="s">
        <v>650</v>
      </c>
      <c r="H221">
        <v>3615.11</v>
      </c>
      <c r="I221" t="s">
        <v>650</v>
      </c>
    </row>
    <row r="222" spans="3:9" x14ac:dyDescent="0.3">
      <c r="C222">
        <v>198</v>
      </c>
      <c r="D222">
        <v>1989.61</v>
      </c>
      <c r="E222" t="s">
        <v>650</v>
      </c>
      <c r="F222">
        <v>3063.93</v>
      </c>
      <c r="G222" t="s">
        <v>650</v>
      </c>
      <c r="H222">
        <v>4599.09</v>
      </c>
      <c r="I222" t="s">
        <v>650</v>
      </c>
    </row>
    <row r="223" spans="3:9" x14ac:dyDescent="0.3">
      <c r="C223">
        <v>199</v>
      </c>
      <c r="D223">
        <v>2888.95</v>
      </c>
      <c r="E223" t="s">
        <v>650</v>
      </c>
      <c r="F223">
        <v>3891.93</v>
      </c>
      <c r="G223" t="s">
        <v>650</v>
      </c>
      <c r="H223">
        <v>3082.51</v>
      </c>
      <c r="I223" t="s">
        <v>650</v>
      </c>
    </row>
    <row r="224" spans="3:9" x14ac:dyDescent="0.3">
      <c r="C224">
        <v>200</v>
      </c>
      <c r="D224">
        <v>2894.27</v>
      </c>
      <c r="E224" t="s">
        <v>650</v>
      </c>
      <c r="F224">
        <v>2684.88</v>
      </c>
      <c r="G224" t="s">
        <v>650</v>
      </c>
      <c r="H224">
        <v>4140.32</v>
      </c>
      <c r="I224" t="s">
        <v>650</v>
      </c>
    </row>
    <row r="225" spans="3:9" x14ac:dyDescent="0.3">
      <c r="C225">
        <v>201</v>
      </c>
      <c r="D225">
        <v>2550.94</v>
      </c>
      <c r="E225" t="s">
        <v>650</v>
      </c>
      <c r="F225">
        <v>3211.14</v>
      </c>
      <c r="G225" t="s">
        <v>650</v>
      </c>
      <c r="H225">
        <v>1809.57</v>
      </c>
      <c r="I225" t="s">
        <v>650</v>
      </c>
    </row>
    <row r="226" spans="3:9" x14ac:dyDescent="0.3">
      <c r="C226">
        <v>202</v>
      </c>
      <c r="D226">
        <v>3313.07</v>
      </c>
      <c r="E226" t="s">
        <v>650</v>
      </c>
      <c r="F226">
        <v>2785.46</v>
      </c>
      <c r="G226" t="s">
        <v>650</v>
      </c>
      <c r="H226">
        <v>2816.38</v>
      </c>
      <c r="I226" t="s">
        <v>650</v>
      </c>
    </row>
    <row r="227" spans="3:9" x14ac:dyDescent="0.3">
      <c r="C227">
        <v>203</v>
      </c>
      <c r="D227">
        <v>3543.1</v>
      </c>
      <c r="E227" t="s">
        <v>650</v>
      </c>
      <c r="F227">
        <v>2622.53</v>
      </c>
      <c r="G227" t="s">
        <v>650</v>
      </c>
      <c r="H227">
        <v>3047.14</v>
      </c>
      <c r="I227" t="s">
        <v>650</v>
      </c>
    </row>
    <row r="228" spans="3:9" x14ac:dyDescent="0.3">
      <c r="C228">
        <v>204</v>
      </c>
      <c r="D228">
        <v>2248.44</v>
      </c>
      <c r="E228" t="s">
        <v>650</v>
      </c>
      <c r="F228">
        <v>3354.01</v>
      </c>
      <c r="G228" t="s">
        <v>650</v>
      </c>
      <c r="H228">
        <v>3118.37</v>
      </c>
      <c r="I228" t="s">
        <v>650</v>
      </c>
    </row>
    <row r="229" spans="3:9" x14ac:dyDescent="0.3">
      <c r="C229">
        <v>205</v>
      </c>
      <c r="D229">
        <v>2622.05</v>
      </c>
      <c r="E229" t="s">
        <v>650</v>
      </c>
      <c r="F229">
        <v>3301.25</v>
      </c>
      <c r="G229" t="s">
        <v>650</v>
      </c>
      <c r="H229">
        <v>3682.21</v>
      </c>
      <c r="I229" t="s">
        <v>650</v>
      </c>
    </row>
    <row r="230" spans="3:9" x14ac:dyDescent="0.3">
      <c r="C230">
        <v>206</v>
      </c>
      <c r="D230">
        <v>2142.66</v>
      </c>
      <c r="E230" t="s">
        <v>650</v>
      </c>
      <c r="F230">
        <v>3534.18</v>
      </c>
      <c r="G230" t="s">
        <v>650</v>
      </c>
      <c r="H230">
        <v>2952.4</v>
      </c>
      <c r="I230" t="s">
        <v>650</v>
      </c>
    </row>
    <row r="231" spans="3:9" x14ac:dyDescent="0.3">
      <c r="C231">
        <v>207</v>
      </c>
      <c r="D231">
        <v>2506.56</v>
      </c>
      <c r="E231" t="s">
        <v>650</v>
      </c>
      <c r="F231">
        <v>2776.02</v>
      </c>
      <c r="G231" t="s">
        <v>650</v>
      </c>
      <c r="H231">
        <v>2993.71</v>
      </c>
      <c r="I231" t="s">
        <v>650</v>
      </c>
    </row>
    <row r="232" spans="3:9" x14ac:dyDescent="0.3">
      <c r="C232">
        <v>208</v>
      </c>
      <c r="D232">
        <v>3049.65</v>
      </c>
      <c r="E232" t="s">
        <v>650</v>
      </c>
      <c r="F232">
        <v>3524.13</v>
      </c>
      <c r="G232" t="s">
        <v>650</v>
      </c>
      <c r="H232">
        <v>2045.87</v>
      </c>
      <c r="I232" t="s">
        <v>650</v>
      </c>
    </row>
    <row r="233" spans="3:9" x14ac:dyDescent="0.3">
      <c r="C233">
        <v>209</v>
      </c>
      <c r="D233">
        <v>2663.46</v>
      </c>
      <c r="E233" t="s">
        <v>650</v>
      </c>
      <c r="F233">
        <v>1977.5</v>
      </c>
      <c r="G233" t="s">
        <v>650</v>
      </c>
      <c r="H233">
        <v>3159.28</v>
      </c>
      <c r="I233" t="s">
        <v>650</v>
      </c>
    </row>
    <row r="234" spans="3:9" x14ac:dyDescent="0.3">
      <c r="C234">
        <v>210</v>
      </c>
      <c r="D234">
        <v>3134.1</v>
      </c>
      <c r="E234" t="s">
        <v>650</v>
      </c>
      <c r="F234">
        <v>3728.63</v>
      </c>
      <c r="G234" t="s">
        <v>650</v>
      </c>
      <c r="H234">
        <v>4560.04</v>
      </c>
      <c r="I234" t="s">
        <v>650</v>
      </c>
    </row>
    <row r="235" spans="3:9" x14ac:dyDescent="0.3">
      <c r="C235">
        <v>211</v>
      </c>
      <c r="D235">
        <v>2635.39</v>
      </c>
      <c r="E235" t="s">
        <v>650</v>
      </c>
      <c r="F235">
        <v>2937.73</v>
      </c>
      <c r="G235" t="s">
        <v>650</v>
      </c>
      <c r="H235">
        <v>4283.41</v>
      </c>
      <c r="I235" t="s">
        <v>650</v>
      </c>
    </row>
    <row r="236" spans="3:9" x14ac:dyDescent="0.3">
      <c r="C236">
        <v>212</v>
      </c>
      <c r="D236">
        <v>3483.96</v>
      </c>
      <c r="E236" t="s">
        <v>650</v>
      </c>
      <c r="F236">
        <v>2634.55</v>
      </c>
      <c r="G236" t="s">
        <v>650</v>
      </c>
      <c r="H236">
        <v>2991.13</v>
      </c>
      <c r="I236" t="s">
        <v>650</v>
      </c>
    </row>
    <row r="237" spans="3:9" x14ac:dyDescent="0.3">
      <c r="C237">
        <v>213</v>
      </c>
      <c r="D237">
        <v>2688.57</v>
      </c>
      <c r="E237" t="s">
        <v>650</v>
      </c>
      <c r="F237">
        <v>1596.55</v>
      </c>
      <c r="G237" t="s">
        <v>650</v>
      </c>
      <c r="H237">
        <v>3259.63</v>
      </c>
      <c r="I237" t="s">
        <v>650</v>
      </c>
    </row>
    <row r="238" spans="3:9" x14ac:dyDescent="0.3">
      <c r="C238">
        <v>214</v>
      </c>
      <c r="D238">
        <v>3272.33</v>
      </c>
      <c r="E238" t="s">
        <v>650</v>
      </c>
      <c r="F238">
        <v>3184.5</v>
      </c>
      <c r="G238" t="s">
        <v>650</v>
      </c>
      <c r="H238">
        <v>3651.79</v>
      </c>
      <c r="I238" t="s">
        <v>650</v>
      </c>
    </row>
    <row r="239" spans="3:9" x14ac:dyDescent="0.3">
      <c r="C239">
        <v>215</v>
      </c>
      <c r="D239">
        <v>2630.52</v>
      </c>
      <c r="E239" t="s">
        <v>650</v>
      </c>
      <c r="F239">
        <v>4271.3599999999997</v>
      </c>
      <c r="G239" t="s">
        <v>650</v>
      </c>
      <c r="H239">
        <v>3288.71</v>
      </c>
      <c r="I239" t="s">
        <v>650</v>
      </c>
    </row>
    <row r="240" spans="3:9" x14ac:dyDescent="0.3">
      <c r="C240">
        <v>216</v>
      </c>
      <c r="D240">
        <v>2596.16</v>
      </c>
      <c r="E240" t="s">
        <v>650</v>
      </c>
      <c r="F240">
        <v>3512.85</v>
      </c>
      <c r="G240" t="s">
        <v>650</v>
      </c>
      <c r="H240">
        <v>2447.39</v>
      </c>
      <c r="I240" t="s">
        <v>650</v>
      </c>
    </row>
    <row r="241" spans="3:9" x14ac:dyDescent="0.3">
      <c r="C241">
        <v>217</v>
      </c>
      <c r="D241">
        <v>3051.6</v>
      </c>
      <c r="E241" t="s">
        <v>650</v>
      </c>
      <c r="F241">
        <v>2837.33</v>
      </c>
      <c r="G241" t="s">
        <v>650</v>
      </c>
      <c r="H241">
        <v>3705.33</v>
      </c>
      <c r="I241" t="s">
        <v>650</v>
      </c>
    </row>
    <row r="242" spans="3:9" x14ac:dyDescent="0.3">
      <c r="C242">
        <v>218</v>
      </c>
      <c r="D242">
        <v>2645.62</v>
      </c>
      <c r="E242" t="s">
        <v>650</v>
      </c>
      <c r="F242">
        <v>3257.54</v>
      </c>
      <c r="G242" t="s">
        <v>650</v>
      </c>
      <c r="H242">
        <v>2144.86</v>
      </c>
      <c r="I242" t="s">
        <v>650</v>
      </c>
    </row>
    <row r="243" spans="3:9" x14ac:dyDescent="0.3">
      <c r="C243">
        <v>219</v>
      </c>
      <c r="D243">
        <v>2556.46</v>
      </c>
      <c r="E243" t="s">
        <v>650</v>
      </c>
      <c r="F243">
        <v>3726.54</v>
      </c>
      <c r="G243" t="s">
        <v>650</v>
      </c>
      <c r="H243">
        <v>4432.01</v>
      </c>
      <c r="I243" t="s">
        <v>650</v>
      </c>
    </row>
    <row r="244" spans="3:9" x14ac:dyDescent="0.3">
      <c r="C244">
        <v>220</v>
      </c>
      <c r="D244">
        <v>2918</v>
      </c>
      <c r="E244" t="s">
        <v>650</v>
      </c>
      <c r="F244">
        <v>2954.24</v>
      </c>
      <c r="G244" t="s">
        <v>650</v>
      </c>
      <c r="H244">
        <v>4133.29</v>
      </c>
      <c r="I244" t="s">
        <v>650</v>
      </c>
    </row>
    <row r="245" spans="3:9" x14ac:dyDescent="0.3">
      <c r="C245">
        <v>221</v>
      </c>
      <c r="D245">
        <v>2958.95</v>
      </c>
      <c r="E245" t="s">
        <v>650</v>
      </c>
      <c r="F245">
        <v>2811.09</v>
      </c>
      <c r="G245" t="s">
        <v>650</v>
      </c>
      <c r="H245">
        <v>2007.49</v>
      </c>
      <c r="I245" t="s">
        <v>650</v>
      </c>
    </row>
    <row r="246" spans="3:9" x14ac:dyDescent="0.3">
      <c r="C246">
        <v>222</v>
      </c>
      <c r="D246">
        <v>2631.31</v>
      </c>
      <c r="E246" t="s">
        <v>650</v>
      </c>
      <c r="F246">
        <v>3118.31</v>
      </c>
      <c r="G246" t="s">
        <v>650</v>
      </c>
      <c r="H246">
        <v>4078.88</v>
      </c>
      <c r="I246" t="s">
        <v>650</v>
      </c>
    </row>
    <row r="247" spans="3:9" x14ac:dyDescent="0.3">
      <c r="C247">
        <v>223</v>
      </c>
      <c r="D247">
        <v>3262.27</v>
      </c>
      <c r="E247" t="s">
        <v>650</v>
      </c>
      <c r="F247">
        <v>2639.3</v>
      </c>
      <c r="G247" t="s">
        <v>650</v>
      </c>
      <c r="H247">
        <v>3102.72</v>
      </c>
      <c r="I247" t="s">
        <v>650</v>
      </c>
    </row>
    <row r="248" spans="3:9" x14ac:dyDescent="0.3">
      <c r="C248">
        <v>224</v>
      </c>
      <c r="D248">
        <v>2998.83</v>
      </c>
      <c r="E248" t="s">
        <v>650</v>
      </c>
      <c r="F248">
        <v>3949.9</v>
      </c>
      <c r="G248" t="s">
        <v>650</v>
      </c>
      <c r="H248">
        <v>3991.25</v>
      </c>
      <c r="I248" t="s">
        <v>650</v>
      </c>
    </row>
    <row r="249" spans="3:9" x14ac:dyDescent="0.3">
      <c r="C249">
        <v>225</v>
      </c>
      <c r="D249">
        <v>2553.58</v>
      </c>
      <c r="E249" t="s">
        <v>650</v>
      </c>
      <c r="F249">
        <v>3623.02</v>
      </c>
      <c r="G249" t="s">
        <v>650</v>
      </c>
      <c r="H249">
        <v>3654.24</v>
      </c>
      <c r="I249" t="s">
        <v>650</v>
      </c>
    </row>
    <row r="250" spans="3:9" x14ac:dyDescent="0.3">
      <c r="C250">
        <v>226</v>
      </c>
      <c r="D250">
        <v>3535.97</v>
      </c>
      <c r="E250" t="s">
        <v>650</v>
      </c>
      <c r="F250">
        <v>4351.88</v>
      </c>
      <c r="G250" t="s">
        <v>650</v>
      </c>
      <c r="H250">
        <v>2244.37</v>
      </c>
      <c r="I250" t="s">
        <v>650</v>
      </c>
    </row>
    <row r="251" spans="3:9" x14ac:dyDescent="0.3">
      <c r="C251">
        <v>227</v>
      </c>
      <c r="D251">
        <v>3103.13</v>
      </c>
      <c r="E251" t="s">
        <v>650</v>
      </c>
      <c r="F251">
        <v>3322.43</v>
      </c>
      <c r="G251" t="s">
        <v>650</v>
      </c>
      <c r="H251">
        <v>4299.41</v>
      </c>
      <c r="I251" t="s">
        <v>650</v>
      </c>
    </row>
    <row r="252" spans="3:9" x14ac:dyDescent="0.3">
      <c r="C252">
        <v>228</v>
      </c>
      <c r="D252">
        <v>3174.77</v>
      </c>
      <c r="E252" t="s">
        <v>650</v>
      </c>
      <c r="F252">
        <v>1312.87</v>
      </c>
      <c r="G252" t="s">
        <v>650</v>
      </c>
      <c r="H252">
        <v>4670.93</v>
      </c>
      <c r="I252" t="s">
        <v>650</v>
      </c>
    </row>
    <row r="253" spans="3:9" x14ac:dyDescent="0.3">
      <c r="C253">
        <v>229</v>
      </c>
      <c r="D253">
        <v>3528.61</v>
      </c>
      <c r="E253" t="s">
        <v>650</v>
      </c>
      <c r="F253">
        <v>3690.59</v>
      </c>
      <c r="G253" t="s">
        <v>650</v>
      </c>
      <c r="H253">
        <v>2256.6999999999998</v>
      </c>
      <c r="I253" t="s">
        <v>650</v>
      </c>
    </row>
    <row r="254" spans="3:9" x14ac:dyDescent="0.3">
      <c r="C254">
        <v>230</v>
      </c>
      <c r="D254">
        <v>3231.84</v>
      </c>
      <c r="E254" t="s">
        <v>650</v>
      </c>
      <c r="F254">
        <v>3505.7</v>
      </c>
      <c r="G254" t="s">
        <v>650</v>
      </c>
      <c r="H254">
        <v>2375.0500000000002</v>
      </c>
      <c r="I254" t="s">
        <v>650</v>
      </c>
    </row>
    <row r="255" spans="3:9" x14ac:dyDescent="0.3">
      <c r="C255">
        <v>231</v>
      </c>
      <c r="D255">
        <v>3923.37</v>
      </c>
      <c r="E255" t="s">
        <v>650</v>
      </c>
      <c r="F255">
        <v>3389.35</v>
      </c>
      <c r="G255" t="s">
        <v>650</v>
      </c>
      <c r="H255">
        <v>1650.44</v>
      </c>
      <c r="I255" t="s">
        <v>650</v>
      </c>
    </row>
    <row r="256" spans="3:9" x14ac:dyDescent="0.3">
      <c r="C256">
        <v>232</v>
      </c>
      <c r="D256">
        <v>2485.0100000000002</v>
      </c>
      <c r="E256" t="s">
        <v>650</v>
      </c>
      <c r="F256">
        <v>2405.0500000000002</v>
      </c>
      <c r="G256" t="s">
        <v>650</v>
      </c>
      <c r="H256">
        <v>3209.63</v>
      </c>
      <c r="I256" t="s">
        <v>650</v>
      </c>
    </row>
    <row r="257" spans="3:9" x14ac:dyDescent="0.3">
      <c r="C257">
        <v>233</v>
      </c>
      <c r="D257">
        <v>3400.35</v>
      </c>
      <c r="E257" t="s">
        <v>650</v>
      </c>
      <c r="F257">
        <v>2838.73</v>
      </c>
      <c r="G257" t="s">
        <v>650</v>
      </c>
      <c r="H257">
        <v>3458.79</v>
      </c>
      <c r="I257" t="s">
        <v>650</v>
      </c>
    </row>
    <row r="258" spans="3:9" x14ac:dyDescent="0.3">
      <c r="C258">
        <v>234</v>
      </c>
      <c r="D258">
        <v>3409.88</v>
      </c>
      <c r="E258" t="s">
        <v>650</v>
      </c>
      <c r="F258">
        <v>2463.34</v>
      </c>
      <c r="G258" t="s">
        <v>650</v>
      </c>
      <c r="H258">
        <v>3291.87</v>
      </c>
      <c r="I258" t="s">
        <v>650</v>
      </c>
    </row>
    <row r="259" spans="3:9" x14ac:dyDescent="0.3">
      <c r="C259">
        <v>235</v>
      </c>
      <c r="D259">
        <v>3687.09</v>
      </c>
      <c r="E259" t="s">
        <v>650</v>
      </c>
      <c r="F259">
        <v>1952.34</v>
      </c>
      <c r="G259" t="s">
        <v>650</v>
      </c>
      <c r="H259">
        <v>1770.36</v>
      </c>
      <c r="I259" t="s">
        <v>650</v>
      </c>
    </row>
    <row r="260" spans="3:9" x14ac:dyDescent="0.3">
      <c r="C260">
        <v>236</v>
      </c>
      <c r="D260">
        <v>3990.98</v>
      </c>
      <c r="E260" t="s">
        <v>650</v>
      </c>
      <c r="F260">
        <v>2802.22</v>
      </c>
      <c r="G260" t="s">
        <v>650</v>
      </c>
      <c r="H260">
        <v>3550.09</v>
      </c>
      <c r="I260" t="s">
        <v>650</v>
      </c>
    </row>
    <row r="261" spans="3:9" x14ac:dyDescent="0.3">
      <c r="C261">
        <v>237</v>
      </c>
      <c r="D261">
        <v>2783.27</v>
      </c>
      <c r="E261" t="s">
        <v>650</v>
      </c>
      <c r="F261">
        <v>2773.62</v>
      </c>
      <c r="G261" t="s">
        <v>650</v>
      </c>
      <c r="H261">
        <v>2954.03</v>
      </c>
      <c r="I261" t="s">
        <v>650</v>
      </c>
    </row>
    <row r="262" spans="3:9" x14ac:dyDescent="0.3">
      <c r="C262">
        <v>238</v>
      </c>
      <c r="D262">
        <v>2574.8200000000002</v>
      </c>
      <c r="E262" t="s">
        <v>650</v>
      </c>
      <c r="F262">
        <v>2289.8200000000002</v>
      </c>
      <c r="G262" t="s">
        <v>650</v>
      </c>
      <c r="H262">
        <v>2574.41</v>
      </c>
      <c r="I262" t="s">
        <v>650</v>
      </c>
    </row>
    <row r="263" spans="3:9" x14ac:dyDescent="0.3">
      <c r="C263">
        <v>239</v>
      </c>
      <c r="D263">
        <v>2600.52</v>
      </c>
      <c r="E263" t="s">
        <v>650</v>
      </c>
      <c r="F263">
        <v>3198.65</v>
      </c>
      <c r="G263" t="s">
        <v>650</v>
      </c>
      <c r="H263">
        <v>2769.18</v>
      </c>
      <c r="I263" t="s">
        <v>650</v>
      </c>
    </row>
    <row r="264" spans="3:9" x14ac:dyDescent="0.3">
      <c r="C264">
        <v>240</v>
      </c>
      <c r="D264">
        <v>2837.71</v>
      </c>
      <c r="E264" t="s">
        <v>650</v>
      </c>
      <c r="F264">
        <v>4076.37</v>
      </c>
      <c r="G264" t="s">
        <v>650</v>
      </c>
      <c r="H264">
        <v>2810.42</v>
      </c>
      <c r="I264" t="s">
        <v>650</v>
      </c>
    </row>
    <row r="265" spans="3:9" x14ac:dyDescent="0.3">
      <c r="C265">
        <v>241</v>
      </c>
      <c r="D265">
        <v>3317.2</v>
      </c>
      <c r="E265" t="s">
        <v>650</v>
      </c>
      <c r="F265">
        <v>3508.12</v>
      </c>
      <c r="G265" t="s">
        <v>650</v>
      </c>
      <c r="H265">
        <v>5121.1899999999996</v>
      </c>
      <c r="I265" t="s">
        <v>650</v>
      </c>
    </row>
    <row r="266" spans="3:9" x14ac:dyDescent="0.3">
      <c r="C266">
        <v>242</v>
      </c>
      <c r="D266">
        <v>3359.38</v>
      </c>
      <c r="E266" t="s">
        <v>650</v>
      </c>
      <c r="F266">
        <v>2787.99</v>
      </c>
      <c r="G266" t="s">
        <v>650</v>
      </c>
      <c r="H266">
        <v>4110.1000000000004</v>
      </c>
      <c r="I266" t="s">
        <v>650</v>
      </c>
    </row>
    <row r="267" spans="3:9" x14ac:dyDescent="0.3">
      <c r="C267">
        <v>243</v>
      </c>
      <c r="D267">
        <v>3400.41</v>
      </c>
      <c r="E267" t="s">
        <v>650</v>
      </c>
      <c r="F267">
        <v>2348.04</v>
      </c>
      <c r="G267" t="s">
        <v>650</v>
      </c>
      <c r="H267">
        <v>4327.28</v>
      </c>
      <c r="I267" t="s">
        <v>650</v>
      </c>
    </row>
    <row r="268" spans="3:9" x14ac:dyDescent="0.3">
      <c r="C268">
        <v>244</v>
      </c>
      <c r="D268">
        <v>2545.42</v>
      </c>
      <c r="E268" t="s">
        <v>650</v>
      </c>
      <c r="F268">
        <v>3488.23</v>
      </c>
      <c r="G268" t="s">
        <v>650</v>
      </c>
      <c r="H268">
        <v>2965.85</v>
      </c>
      <c r="I268" t="s">
        <v>650</v>
      </c>
    </row>
    <row r="269" spans="3:9" x14ac:dyDescent="0.3">
      <c r="C269">
        <v>245</v>
      </c>
      <c r="D269">
        <v>2976.7</v>
      </c>
      <c r="E269" t="s">
        <v>650</v>
      </c>
      <c r="F269">
        <v>3497.91</v>
      </c>
      <c r="G269" t="s">
        <v>650</v>
      </c>
      <c r="H269">
        <v>4009.94</v>
      </c>
      <c r="I269" t="s">
        <v>650</v>
      </c>
    </row>
    <row r="270" spans="3:9" x14ac:dyDescent="0.3">
      <c r="C270">
        <v>246</v>
      </c>
      <c r="D270">
        <v>3567.61</v>
      </c>
      <c r="E270" t="s">
        <v>650</v>
      </c>
      <c r="F270">
        <v>2145.3200000000002</v>
      </c>
      <c r="G270" t="s">
        <v>650</v>
      </c>
      <c r="H270">
        <v>3384.32</v>
      </c>
      <c r="I270" t="s">
        <v>650</v>
      </c>
    </row>
    <row r="271" spans="3:9" x14ac:dyDescent="0.3">
      <c r="C271">
        <v>247</v>
      </c>
      <c r="D271">
        <v>3085.97</v>
      </c>
      <c r="E271" t="s">
        <v>650</v>
      </c>
      <c r="F271">
        <v>3642.17</v>
      </c>
      <c r="G271" t="s">
        <v>650</v>
      </c>
      <c r="H271">
        <v>3599.54</v>
      </c>
      <c r="I271" t="s">
        <v>650</v>
      </c>
    </row>
    <row r="272" spans="3:9" x14ac:dyDescent="0.3">
      <c r="C272">
        <v>248</v>
      </c>
      <c r="D272">
        <v>3277.18</v>
      </c>
      <c r="E272" t="s">
        <v>650</v>
      </c>
      <c r="F272">
        <v>3972.06</v>
      </c>
      <c r="G272" t="s">
        <v>650</v>
      </c>
      <c r="H272">
        <v>2528.09</v>
      </c>
      <c r="I272" t="s">
        <v>650</v>
      </c>
    </row>
    <row r="273" spans="3:9" x14ac:dyDescent="0.3">
      <c r="C273">
        <v>249</v>
      </c>
      <c r="D273">
        <v>2658.06</v>
      </c>
      <c r="E273" t="s">
        <v>650</v>
      </c>
      <c r="F273">
        <v>2323.21</v>
      </c>
      <c r="G273" t="s">
        <v>650</v>
      </c>
      <c r="H273">
        <v>2233.71</v>
      </c>
      <c r="I273" t="s">
        <v>650</v>
      </c>
    </row>
    <row r="274" spans="3:9" x14ac:dyDescent="0.3">
      <c r="C274">
        <v>250</v>
      </c>
      <c r="D274">
        <v>2856.68</v>
      </c>
      <c r="E274" t="s">
        <v>650</v>
      </c>
      <c r="F274">
        <v>2721.69</v>
      </c>
      <c r="G274" t="s">
        <v>650</v>
      </c>
      <c r="H274">
        <v>2665.78</v>
      </c>
      <c r="I274" t="s">
        <v>650</v>
      </c>
    </row>
    <row r="275" spans="3:9" x14ac:dyDescent="0.3">
      <c r="C275">
        <v>251</v>
      </c>
      <c r="D275">
        <v>1652.41</v>
      </c>
      <c r="E275" t="s">
        <v>650</v>
      </c>
      <c r="F275">
        <v>2532.4</v>
      </c>
      <c r="G275" t="s">
        <v>650</v>
      </c>
      <c r="H275">
        <v>3439.57</v>
      </c>
      <c r="I275" t="s">
        <v>650</v>
      </c>
    </row>
    <row r="276" spans="3:9" x14ac:dyDescent="0.3">
      <c r="C276">
        <v>252</v>
      </c>
      <c r="D276">
        <v>2667.9</v>
      </c>
      <c r="E276" t="s">
        <v>650</v>
      </c>
      <c r="F276">
        <v>3131.83</v>
      </c>
      <c r="G276" t="s">
        <v>650</v>
      </c>
      <c r="H276">
        <v>2027.64</v>
      </c>
      <c r="I276" t="s">
        <v>650</v>
      </c>
    </row>
    <row r="277" spans="3:9" x14ac:dyDescent="0.3">
      <c r="C277">
        <v>253</v>
      </c>
      <c r="D277">
        <v>2127.15</v>
      </c>
      <c r="E277" t="s">
        <v>650</v>
      </c>
      <c r="F277">
        <v>1759.91</v>
      </c>
      <c r="G277" t="s">
        <v>650</v>
      </c>
      <c r="H277">
        <v>3581.64</v>
      </c>
      <c r="I277" t="s">
        <v>650</v>
      </c>
    </row>
    <row r="278" spans="3:9" x14ac:dyDescent="0.3">
      <c r="C278">
        <v>254</v>
      </c>
      <c r="D278">
        <v>3402.86</v>
      </c>
      <c r="E278" t="s">
        <v>650</v>
      </c>
      <c r="F278">
        <v>2974.38</v>
      </c>
      <c r="G278" t="s">
        <v>650</v>
      </c>
      <c r="H278">
        <v>3597.33</v>
      </c>
      <c r="I278" t="s">
        <v>650</v>
      </c>
    </row>
    <row r="279" spans="3:9" x14ac:dyDescent="0.3">
      <c r="C279">
        <v>255</v>
      </c>
      <c r="D279">
        <v>2633.17</v>
      </c>
      <c r="E279" t="s">
        <v>650</v>
      </c>
      <c r="F279">
        <v>3511.77</v>
      </c>
      <c r="G279" t="s">
        <v>650</v>
      </c>
      <c r="H279">
        <v>2599.23</v>
      </c>
      <c r="I279" t="s">
        <v>650</v>
      </c>
    </row>
    <row r="280" spans="3:9" x14ac:dyDescent="0.3">
      <c r="C280">
        <v>256</v>
      </c>
      <c r="D280">
        <v>3595.45</v>
      </c>
      <c r="E280" t="s">
        <v>650</v>
      </c>
      <c r="F280">
        <v>2284.54</v>
      </c>
      <c r="G280" t="s">
        <v>650</v>
      </c>
      <c r="H280">
        <v>4152.91</v>
      </c>
      <c r="I280" t="s">
        <v>650</v>
      </c>
    </row>
    <row r="281" spans="3:9" x14ac:dyDescent="0.3">
      <c r="C281">
        <v>257</v>
      </c>
      <c r="D281">
        <v>3607.16</v>
      </c>
      <c r="E281" t="s">
        <v>650</v>
      </c>
      <c r="F281">
        <v>2533.7600000000002</v>
      </c>
      <c r="G281" t="s">
        <v>650</v>
      </c>
      <c r="H281">
        <v>2410.42</v>
      </c>
      <c r="I281" t="s">
        <v>650</v>
      </c>
    </row>
    <row r="282" spans="3:9" x14ac:dyDescent="0.3">
      <c r="C282">
        <v>258</v>
      </c>
      <c r="D282">
        <v>2285.34</v>
      </c>
      <c r="E282" t="s">
        <v>650</v>
      </c>
      <c r="F282">
        <v>2285.62</v>
      </c>
      <c r="G282" t="s">
        <v>650</v>
      </c>
      <c r="H282">
        <v>2728.84</v>
      </c>
      <c r="I282" t="s">
        <v>650</v>
      </c>
    </row>
    <row r="283" spans="3:9" x14ac:dyDescent="0.3">
      <c r="C283">
        <v>259</v>
      </c>
      <c r="D283">
        <v>3401.83</v>
      </c>
      <c r="E283" t="s">
        <v>650</v>
      </c>
      <c r="F283">
        <v>4894.82</v>
      </c>
      <c r="G283" t="s">
        <v>650</v>
      </c>
      <c r="H283">
        <v>3920.11</v>
      </c>
      <c r="I283" t="s">
        <v>650</v>
      </c>
    </row>
    <row r="284" spans="3:9" x14ac:dyDescent="0.3">
      <c r="C284">
        <v>260</v>
      </c>
      <c r="D284">
        <v>3077.62</v>
      </c>
      <c r="E284" t="s">
        <v>650</v>
      </c>
      <c r="F284">
        <v>3220.44</v>
      </c>
      <c r="G284" t="s">
        <v>650</v>
      </c>
      <c r="H284">
        <v>2376.79</v>
      </c>
      <c r="I284" t="s">
        <v>650</v>
      </c>
    </row>
    <row r="285" spans="3:9" x14ac:dyDescent="0.3">
      <c r="C285">
        <v>261</v>
      </c>
      <c r="D285">
        <v>2795.08</v>
      </c>
      <c r="E285" t="s">
        <v>650</v>
      </c>
      <c r="F285">
        <v>2843.84</v>
      </c>
      <c r="G285" t="s">
        <v>650</v>
      </c>
      <c r="H285">
        <v>3384.54</v>
      </c>
      <c r="I285" t="s">
        <v>650</v>
      </c>
    </row>
    <row r="286" spans="3:9" x14ac:dyDescent="0.3">
      <c r="C286">
        <v>262</v>
      </c>
      <c r="D286">
        <v>2879.49</v>
      </c>
      <c r="E286" t="s">
        <v>650</v>
      </c>
      <c r="F286">
        <v>3757.1</v>
      </c>
      <c r="G286" t="s">
        <v>650</v>
      </c>
      <c r="H286">
        <v>1678.03</v>
      </c>
      <c r="I286" t="s">
        <v>650</v>
      </c>
    </row>
    <row r="287" spans="3:9" x14ac:dyDescent="0.3">
      <c r="C287">
        <v>263</v>
      </c>
      <c r="D287">
        <v>2894.41</v>
      </c>
      <c r="E287" t="s">
        <v>650</v>
      </c>
      <c r="F287">
        <v>4342.2299999999996</v>
      </c>
      <c r="G287" t="s">
        <v>650</v>
      </c>
      <c r="H287">
        <v>3063</v>
      </c>
      <c r="I287" t="s">
        <v>650</v>
      </c>
    </row>
    <row r="288" spans="3:9" x14ac:dyDescent="0.3">
      <c r="C288">
        <v>264</v>
      </c>
      <c r="D288">
        <v>2330.9699999999998</v>
      </c>
      <c r="E288" t="s">
        <v>650</v>
      </c>
      <c r="F288">
        <v>3025.59</v>
      </c>
      <c r="G288" t="s">
        <v>650</v>
      </c>
      <c r="H288">
        <v>4038.45</v>
      </c>
      <c r="I288" t="s">
        <v>650</v>
      </c>
    </row>
    <row r="289" spans="3:9" x14ac:dyDescent="0.3">
      <c r="C289">
        <v>265</v>
      </c>
      <c r="D289">
        <v>2684.48</v>
      </c>
      <c r="E289" t="s">
        <v>650</v>
      </c>
      <c r="F289">
        <v>3002.26</v>
      </c>
      <c r="G289" t="s">
        <v>650</v>
      </c>
      <c r="H289">
        <v>3808.64</v>
      </c>
      <c r="I289" t="s">
        <v>650</v>
      </c>
    </row>
    <row r="290" spans="3:9" x14ac:dyDescent="0.3">
      <c r="C290">
        <v>266</v>
      </c>
      <c r="D290">
        <v>2887.91</v>
      </c>
      <c r="E290" t="s">
        <v>650</v>
      </c>
      <c r="F290">
        <v>3107.73</v>
      </c>
      <c r="G290" t="s">
        <v>650</v>
      </c>
      <c r="H290">
        <v>1927</v>
      </c>
      <c r="I290" t="s">
        <v>650</v>
      </c>
    </row>
    <row r="291" spans="3:9" x14ac:dyDescent="0.3">
      <c r="C291">
        <v>267</v>
      </c>
      <c r="D291">
        <v>2824.08</v>
      </c>
      <c r="E291" t="s">
        <v>650</v>
      </c>
      <c r="F291">
        <v>2693.34</v>
      </c>
      <c r="G291" t="s">
        <v>650</v>
      </c>
      <c r="H291">
        <v>2886.34</v>
      </c>
      <c r="I291" t="s">
        <v>650</v>
      </c>
    </row>
    <row r="292" spans="3:9" x14ac:dyDescent="0.3">
      <c r="C292">
        <v>268</v>
      </c>
      <c r="D292">
        <v>3030.78</v>
      </c>
      <c r="E292" t="s">
        <v>650</v>
      </c>
      <c r="F292">
        <v>1957.05</v>
      </c>
      <c r="G292" t="s">
        <v>650</v>
      </c>
      <c r="H292">
        <v>3013.53</v>
      </c>
      <c r="I292" t="s">
        <v>650</v>
      </c>
    </row>
    <row r="293" spans="3:9" x14ac:dyDescent="0.3">
      <c r="C293">
        <v>269</v>
      </c>
      <c r="D293">
        <v>3013.97</v>
      </c>
      <c r="E293" t="s">
        <v>650</v>
      </c>
      <c r="F293">
        <v>2953.67</v>
      </c>
      <c r="G293" t="s">
        <v>650</v>
      </c>
      <c r="H293">
        <v>4785.71</v>
      </c>
      <c r="I293" t="s">
        <v>650</v>
      </c>
    </row>
    <row r="294" spans="3:9" x14ac:dyDescent="0.3">
      <c r="C294">
        <v>270</v>
      </c>
      <c r="D294">
        <v>4032.36</v>
      </c>
      <c r="E294" t="s">
        <v>650</v>
      </c>
      <c r="F294">
        <v>3304.68</v>
      </c>
      <c r="G294" t="s">
        <v>650</v>
      </c>
      <c r="H294">
        <v>3247.77</v>
      </c>
      <c r="I294" t="s">
        <v>650</v>
      </c>
    </row>
    <row r="295" spans="3:9" x14ac:dyDescent="0.3">
      <c r="C295">
        <v>271</v>
      </c>
      <c r="D295">
        <v>2715.53</v>
      </c>
      <c r="E295" t="s">
        <v>650</v>
      </c>
      <c r="F295">
        <v>3976.65</v>
      </c>
      <c r="G295" t="s">
        <v>650</v>
      </c>
      <c r="H295">
        <v>2716.5</v>
      </c>
      <c r="I295" t="s">
        <v>650</v>
      </c>
    </row>
    <row r="296" spans="3:9" x14ac:dyDescent="0.3">
      <c r="C296">
        <v>272</v>
      </c>
      <c r="D296">
        <v>2705.42</v>
      </c>
      <c r="E296" t="s">
        <v>650</v>
      </c>
      <c r="F296">
        <v>3997.9</v>
      </c>
      <c r="G296" t="s">
        <v>650</v>
      </c>
      <c r="H296">
        <v>3523.5</v>
      </c>
      <c r="I296" t="s">
        <v>650</v>
      </c>
    </row>
    <row r="297" spans="3:9" x14ac:dyDescent="0.3">
      <c r="C297">
        <v>273</v>
      </c>
      <c r="D297">
        <v>2999.66</v>
      </c>
      <c r="E297" t="s">
        <v>650</v>
      </c>
      <c r="F297">
        <v>3101.75</v>
      </c>
      <c r="G297" t="s">
        <v>650</v>
      </c>
      <c r="H297">
        <v>3307.48</v>
      </c>
      <c r="I297" t="s">
        <v>650</v>
      </c>
    </row>
    <row r="298" spans="3:9" x14ac:dyDescent="0.3">
      <c r="C298">
        <v>274</v>
      </c>
      <c r="D298">
        <v>3446.07</v>
      </c>
      <c r="E298" t="s">
        <v>650</v>
      </c>
      <c r="F298">
        <v>2450.5100000000002</v>
      </c>
      <c r="G298" t="s">
        <v>650</v>
      </c>
      <c r="H298">
        <v>3608.08</v>
      </c>
      <c r="I298" t="s">
        <v>650</v>
      </c>
    </row>
    <row r="299" spans="3:9" x14ac:dyDescent="0.3">
      <c r="C299">
        <v>275</v>
      </c>
      <c r="D299">
        <v>1702.86</v>
      </c>
      <c r="E299" t="s">
        <v>650</v>
      </c>
      <c r="F299">
        <v>2823.3</v>
      </c>
      <c r="G299" t="s">
        <v>650</v>
      </c>
      <c r="H299">
        <v>3755.08</v>
      </c>
      <c r="I299" t="s">
        <v>650</v>
      </c>
    </row>
    <row r="300" spans="3:9" x14ac:dyDescent="0.3">
      <c r="C300">
        <v>276</v>
      </c>
      <c r="D300">
        <v>2826.44</v>
      </c>
      <c r="E300" t="s">
        <v>650</v>
      </c>
      <c r="F300">
        <v>3659.27</v>
      </c>
      <c r="G300" t="s">
        <v>650</v>
      </c>
      <c r="H300">
        <v>3563.63</v>
      </c>
      <c r="I300" t="s">
        <v>650</v>
      </c>
    </row>
    <row r="301" spans="3:9" x14ac:dyDescent="0.3">
      <c r="C301">
        <v>277</v>
      </c>
      <c r="D301">
        <v>2733.16</v>
      </c>
      <c r="E301" t="s">
        <v>650</v>
      </c>
      <c r="F301">
        <v>1256.06</v>
      </c>
      <c r="G301" t="s">
        <v>650</v>
      </c>
      <c r="H301">
        <v>4012.2</v>
      </c>
      <c r="I301" t="s">
        <v>650</v>
      </c>
    </row>
    <row r="302" spans="3:9" x14ac:dyDescent="0.3">
      <c r="C302">
        <v>278</v>
      </c>
      <c r="D302">
        <v>3535.76</v>
      </c>
      <c r="E302" t="s">
        <v>650</v>
      </c>
      <c r="F302">
        <v>3338.9</v>
      </c>
      <c r="G302" t="s">
        <v>650</v>
      </c>
      <c r="H302">
        <v>2926.18</v>
      </c>
      <c r="I302" t="s">
        <v>650</v>
      </c>
    </row>
    <row r="303" spans="3:9" x14ac:dyDescent="0.3">
      <c r="C303">
        <v>279</v>
      </c>
      <c r="D303">
        <v>4020.76</v>
      </c>
      <c r="E303" t="s">
        <v>650</v>
      </c>
      <c r="F303">
        <v>2294.87</v>
      </c>
      <c r="G303" t="s">
        <v>650</v>
      </c>
      <c r="H303">
        <v>1843.41</v>
      </c>
      <c r="I303" t="s">
        <v>650</v>
      </c>
    </row>
    <row r="304" spans="3:9" x14ac:dyDescent="0.3">
      <c r="C304">
        <v>280</v>
      </c>
      <c r="D304">
        <v>2708.74</v>
      </c>
      <c r="E304" t="s">
        <v>650</v>
      </c>
      <c r="F304">
        <v>3106.7</v>
      </c>
      <c r="G304" t="s">
        <v>650</v>
      </c>
      <c r="H304">
        <v>2883.19</v>
      </c>
      <c r="I304" t="s">
        <v>650</v>
      </c>
    </row>
    <row r="305" spans="3:9" x14ac:dyDescent="0.3">
      <c r="C305">
        <v>281</v>
      </c>
      <c r="D305">
        <v>2755.01</v>
      </c>
      <c r="E305" t="s">
        <v>650</v>
      </c>
      <c r="F305">
        <v>2204.88</v>
      </c>
      <c r="G305" t="s">
        <v>650</v>
      </c>
      <c r="H305">
        <v>2388.67</v>
      </c>
      <c r="I305" t="s">
        <v>650</v>
      </c>
    </row>
    <row r="306" spans="3:9" x14ac:dyDescent="0.3">
      <c r="C306">
        <v>282</v>
      </c>
      <c r="D306">
        <v>1947.26</v>
      </c>
      <c r="E306" t="s">
        <v>650</v>
      </c>
      <c r="F306">
        <v>3559.17</v>
      </c>
      <c r="G306" t="s">
        <v>650</v>
      </c>
      <c r="H306">
        <v>3038.98</v>
      </c>
      <c r="I306" t="s">
        <v>650</v>
      </c>
    </row>
    <row r="307" spans="3:9" x14ac:dyDescent="0.3">
      <c r="C307">
        <v>283</v>
      </c>
      <c r="D307">
        <v>2821.8</v>
      </c>
      <c r="E307" t="s">
        <v>650</v>
      </c>
      <c r="F307">
        <v>1859.17</v>
      </c>
      <c r="G307" t="s">
        <v>650</v>
      </c>
      <c r="H307">
        <v>2354.0700000000002</v>
      </c>
      <c r="I307" t="s">
        <v>650</v>
      </c>
    </row>
    <row r="308" spans="3:9" x14ac:dyDescent="0.3">
      <c r="C308">
        <v>284</v>
      </c>
      <c r="D308">
        <v>2245.9899999999998</v>
      </c>
      <c r="E308" t="s">
        <v>650</v>
      </c>
      <c r="F308">
        <v>2877.16</v>
      </c>
      <c r="G308" t="s">
        <v>650</v>
      </c>
      <c r="H308">
        <v>3943.46</v>
      </c>
      <c r="I308" t="s">
        <v>650</v>
      </c>
    </row>
    <row r="309" spans="3:9" x14ac:dyDescent="0.3">
      <c r="C309">
        <v>285</v>
      </c>
      <c r="D309">
        <v>3211.65</v>
      </c>
      <c r="E309" t="s">
        <v>650</v>
      </c>
      <c r="F309">
        <v>3932.01</v>
      </c>
      <c r="G309" t="s">
        <v>650</v>
      </c>
      <c r="H309">
        <v>3151.78</v>
      </c>
      <c r="I309" t="s">
        <v>650</v>
      </c>
    </row>
    <row r="310" spans="3:9" x14ac:dyDescent="0.3">
      <c r="C310">
        <v>286</v>
      </c>
      <c r="D310">
        <v>2152.63</v>
      </c>
      <c r="E310" t="s">
        <v>650</v>
      </c>
      <c r="F310">
        <v>4158.07</v>
      </c>
      <c r="G310" t="s">
        <v>650</v>
      </c>
      <c r="H310">
        <v>3727.42</v>
      </c>
      <c r="I310" t="s">
        <v>650</v>
      </c>
    </row>
    <row r="311" spans="3:9" x14ac:dyDescent="0.3">
      <c r="C311">
        <v>287</v>
      </c>
      <c r="D311">
        <v>2569.09</v>
      </c>
      <c r="E311" t="s">
        <v>650</v>
      </c>
      <c r="F311">
        <v>2599.2199999999998</v>
      </c>
      <c r="G311" t="s">
        <v>650</v>
      </c>
      <c r="H311">
        <v>3312.94</v>
      </c>
      <c r="I311" t="s">
        <v>650</v>
      </c>
    </row>
    <row r="312" spans="3:9" x14ac:dyDescent="0.3">
      <c r="C312">
        <v>288</v>
      </c>
      <c r="D312">
        <v>3794.38</v>
      </c>
      <c r="E312" t="s">
        <v>650</v>
      </c>
      <c r="F312">
        <v>3495.02</v>
      </c>
      <c r="G312" t="s">
        <v>650</v>
      </c>
      <c r="H312">
        <v>4185.93</v>
      </c>
      <c r="I312" t="s">
        <v>650</v>
      </c>
    </row>
    <row r="313" spans="3:9" x14ac:dyDescent="0.3">
      <c r="C313">
        <v>289</v>
      </c>
      <c r="D313">
        <v>2296.44</v>
      </c>
      <c r="E313" t="s">
        <v>650</v>
      </c>
      <c r="F313">
        <v>3289.87</v>
      </c>
      <c r="G313" t="s">
        <v>650</v>
      </c>
      <c r="H313">
        <v>3024.06</v>
      </c>
      <c r="I313" t="s">
        <v>650</v>
      </c>
    </row>
    <row r="314" spans="3:9" x14ac:dyDescent="0.3">
      <c r="C314">
        <v>290</v>
      </c>
      <c r="D314">
        <v>2570.4499999999998</v>
      </c>
      <c r="E314" t="s">
        <v>650</v>
      </c>
      <c r="F314">
        <v>3177.97</v>
      </c>
      <c r="G314" t="s">
        <v>650</v>
      </c>
      <c r="H314">
        <v>2474.9899999999998</v>
      </c>
      <c r="I314" t="s">
        <v>650</v>
      </c>
    </row>
    <row r="315" spans="3:9" x14ac:dyDescent="0.3">
      <c r="C315">
        <v>291</v>
      </c>
      <c r="D315">
        <v>2944.76</v>
      </c>
      <c r="E315" t="s">
        <v>650</v>
      </c>
      <c r="F315">
        <v>1981.07</v>
      </c>
      <c r="G315" t="s">
        <v>650</v>
      </c>
      <c r="H315">
        <v>2430.69</v>
      </c>
      <c r="I315" t="s">
        <v>650</v>
      </c>
    </row>
    <row r="316" spans="3:9" x14ac:dyDescent="0.3">
      <c r="C316">
        <v>292</v>
      </c>
      <c r="D316">
        <v>1984.86</v>
      </c>
      <c r="E316" t="s">
        <v>650</v>
      </c>
      <c r="F316">
        <v>2735.26</v>
      </c>
      <c r="G316" t="s">
        <v>650</v>
      </c>
      <c r="H316">
        <v>2418.31</v>
      </c>
      <c r="I316" t="s">
        <v>650</v>
      </c>
    </row>
    <row r="317" spans="3:9" x14ac:dyDescent="0.3">
      <c r="C317">
        <v>293</v>
      </c>
      <c r="D317">
        <v>2719.59</v>
      </c>
      <c r="E317" t="s">
        <v>650</v>
      </c>
      <c r="F317">
        <v>3010.34</v>
      </c>
      <c r="G317" t="s">
        <v>650</v>
      </c>
      <c r="H317">
        <v>2704.69</v>
      </c>
      <c r="I317" t="s">
        <v>650</v>
      </c>
    </row>
    <row r="318" spans="3:9" x14ac:dyDescent="0.3">
      <c r="C318">
        <v>294</v>
      </c>
      <c r="D318">
        <v>3180.17</v>
      </c>
      <c r="E318" t="s">
        <v>650</v>
      </c>
      <c r="F318">
        <v>3581.29</v>
      </c>
      <c r="G318" t="s">
        <v>650</v>
      </c>
      <c r="H318">
        <v>4296.99</v>
      </c>
      <c r="I318" t="s">
        <v>650</v>
      </c>
    </row>
    <row r="319" spans="3:9" x14ac:dyDescent="0.3">
      <c r="C319">
        <v>295</v>
      </c>
      <c r="D319">
        <v>3122.58</v>
      </c>
      <c r="E319" t="s">
        <v>650</v>
      </c>
      <c r="F319">
        <v>4470.0600000000004</v>
      </c>
      <c r="G319" t="s">
        <v>650</v>
      </c>
      <c r="H319">
        <v>3887.2</v>
      </c>
      <c r="I319" t="s">
        <v>650</v>
      </c>
    </row>
    <row r="320" spans="3:9" x14ac:dyDescent="0.3">
      <c r="C320">
        <v>296</v>
      </c>
      <c r="D320">
        <v>3403.22</v>
      </c>
      <c r="E320" t="s">
        <v>650</v>
      </c>
      <c r="F320">
        <v>3199.71</v>
      </c>
      <c r="G320" t="s">
        <v>650</v>
      </c>
      <c r="H320">
        <v>3244.49</v>
      </c>
      <c r="I320" t="s">
        <v>650</v>
      </c>
    </row>
    <row r="321" spans="3:9" x14ac:dyDescent="0.3">
      <c r="C321">
        <v>297</v>
      </c>
      <c r="D321">
        <v>2984.44</v>
      </c>
      <c r="E321" t="s">
        <v>650</v>
      </c>
      <c r="F321">
        <v>3071.31</v>
      </c>
      <c r="G321" t="s">
        <v>650</v>
      </c>
      <c r="H321">
        <v>1711.2</v>
      </c>
      <c r="I321" t="s">
        <v>650</v>
      </c>
    </row>
    <row r="322" spans="3:9" x14ac:dyDescent="0.3">
      <c r="C322">
        <v>298</v>
      </c>
      <c r="D322">
        <v>3850.3</v>
      </c>
      <c r="E322" t="s">
        <v>650</v>
      </c>
      <c r="F322">
        <v>3216.23</v>
      </c>
      <c r="G322" t="s">
        <v>650</v>
      </c>
      <c r="H322">
        <v>3941.74</v>
      </c>
      <c r="I322" t="s">
        <v>650</v>
      </c>
    </row>
    <row r="323" spans="3:9" x14ac:dyDescent="0.3">
      <c r="C323">
        <v>299</v>
      </c>
      <c r="D323">
        <v>2899.47</v>
      </c>
      <c r="E323" t="s">
        <v>650</v>
      </c>
      <c r="F323">
        <v>3714.81</v>
      </c>
      <c r="G323" t="s">
        <v>650</v>
      </c>
      <c r="H323">
        <v>2269.29</v>
      </c>
      <c r="I323" t="s">
        <v>650</v>
      </c>
    </row>
    <row r="324" spans="3:9" x14ac:dyDescent="0.3">
      <c r="C324">
        <v>300</v>
      </c>
      <c r="D324">
        <v>2513.6999999999998</v>
      </c>
      <c r="E324" t="s">
        <v>650</v>
      </c>
      <c r="F324">
        <v>2925.31</v>
      </c>
      <c r="G324" t="s">
        <v>650</v>
      </c>
      <c r="H324">
        <v>3255.72</v>
      </c>
      <c r="I324" t="s">
        <v>650</v>
      </c>
    </row>
    <row r="325" spans="3:9" x14ac:dyDescent="0.3">
      <c r="C325">
        <v>301</v>
      </c>
      <c r="D325">
        <v>2903.34</v>
      </c>
      <c r="E325" t="s">
        <v>650</v>
      </c>
      <c r="F325">
        <v>4202.63</v>
      </c>
      <c r="G325" t="s">
        <v>650</v>
      </c>
      <c r="H325">
        <v>1667.47</v>
      </c>
      <c r="I325" t="s">
        <v>650</v>
      </c>
    </row>
    <row r="326" spans="3:9" x14ac:dyDescent="0.3">
      <c r="C326">
        <v>302</v>
      </c>
      <c r="D326">
        <v>2011.61</v>
      </c>
      <c r="E326" t="s">
        <v>650</v>
      </c>
      <c r="F326">
        <v>3683.64</v>
      </c>
      <c r="G326" t="s">
        <v>650</v>
      </c>
      <c r="H326">
        <v>3815.15</v>
      </c>
      <c r="I326" t="s">
        <v>650</v>
      </c>
    </row>
    <row r="327" spans="3:9" x14ac:dyDescent="0.3">
      <c r="C327">
        <v>303</v>
      </c>
      <c r="D327">
        <v>2821.1</v>
      </c>
      <c r="E327" t="s">
        <v>650</v>
      </c>
      <c r="F327">
        <v>3062.96</v>
      </c>
      <c r="G327" t="s">
        <v>650</v>
      </c>
      <c r="H327">
        <v>1949.27</v>
      </c>
      <c r="I327" t="s">
        <v>650</v>
      </c>
    </row>
    <row r="328" spans="3:9" x14ac:dyDescent="0.3">
      <c r="C328">
        <v>304</v>
      </c>
      <c r="D328">
        <v>3486.14</v>
      </c>
      <c r="E328" t="s">
        <v>650</v>
      </c>
      <c r="F328">
        <v>2303.17</v>
      </c>
      <c r="G328" t="s">
        <v>650</v>
      </c>
      <c r="H328">
        <v>2757.41</v>
      </c>
      <c r="I328" t="s">
        <v>650</v>
      </c>
    </row>
    <row r="329" spans="3:9" x14ac:dyDescent="0.3">
      <c r="C329">
        <v>305</v>
      </c>
      <c r="D329">
        <v>2901.17</v>
      </c>
      <c r="E329" t="s">
        <v>650</v>
      </c>
      <c r="F329">
        <v>3428.99</v>
      </c>
      <c r="G329" t="s">
        <v>650</v>
      </c>
      <c r="H329">
        <v>5208.5</v>
      </c>
      <c r="I329" t="s">
        <v>650</v>
      </c>
    </row>
    <row r="330" spans="3:9" x14ac:dyDescent="0.3">
      <c r="C330">
        <v>306</v>
      </c>
      <c r="D330">
        <v>2556.9699999999998</v>
      </c>
      <c r="E330" t="s">
        <v>650</v>
      </c>
      <c r="F330">
        <v>3258.62</v>
      </c>
      <c r="G330" t="s">
        <v>650</v>
      </c>
      <c r="H330">
        <v>3500.04</v>
      </c>
      <c r="I330" t="s">
        <v>650</v>
      </c>
    </row>
    <row r="331" spans="3:9" x14ac:dyDescent="0.3">
      <c r="C331">
        <v>307</v>
      </c>
      <c r="D331">
        <v>1974.94</v>
      </c>
      <c r="E331" t="s">
        <v>650</v>
      </c>
      <c r="F331">
        <v>2561.21</v>
      </c>
      <c r="G331" t="s">
        <v>650</v>
      </c>
      <c r="H331">
        <v>2640.46</v>
      </c>
      <c r="I331" t="s">
        <v>650</v>
      </c>
    </row>
    <row r="332" spans="3:9" x14ac:dyDescent="0.3">
      <c r="C332">
        <v>308</v>
      </c>
      <c r="D332">
        <v>2714.77</v>
      </c>
      <c r="E332" t="s">
        <v>650</v>
      </c>
      <c r="F332">
        <v>2895.62</v>
      </c>
      <c r="G332" t="s">
        <v>650</v>
      </c>
      <c r="H332">
        <v>3323.98</v>
      </c>
      <c r="I332" t="s">
        <v>650</v>
      </c>
    </row>
    <row r="333" spans="3:9" x14ac:dyDescent="0.3">
      <c r="C333">
        <v>309</v>
      </c>
      <c r="D333">
        <v>3910.42</v>
      </c>
      <c r="E333" t="s">
        <v>650</v>
      </c>
      <c r="F333">
        <v>4429.3100000000004</v>
      </c>
      <c r="G333" t="s">
        <v>650</v>
      </c>
      <c r="H333">
        <v>3320.72</v>
      </c>
      <c r="I333" t="s">
        <v>650</v>
      </c>
    </row>
    <row r="334" spans="3:9" x14ac:dyDescent="0.3">
      <c r="C334">
        <v>310</v>
      </c>
      <c r="D334">
        <v>2939.38</v>
      </c>
      <c r="E334" t="s">
        <v>650</v>
      </c>
      <c r="F334">
        <v>3308.68</v>
      </c>
      <c r="G334" t="s">
        <v>650</v>
      </c>
      <c r="H334">
        <v>3258.93</v>
      </c>
      <c r="I334" t="s">
        <v>650</v>
      </c>
    </row>
    <row r="335" spans="3:9" x14ac:dyDescent="0.3">
      <c r="C335">
        <v>311</v>
      </c>
      <c r="D335">
        <v>3560.57</v>
      </c>
      <c r="E335" t="s">
        <v>650</v>
      </c>
      <c r="F335">
        <v>3649.75</v>
      </c>
      <c r="G335" t="s">
        <v>650</v>
      </c>
      <c r="H335">
        <v>3435.41</v>
      </c>
      <c r="I335" t="s">
        <v>650</v>
      </c>
    </row>
    <row r="336" spans="3:9" x14ac:dyDescent="0.3">
      <c r="C336">
        <v>312</v>
      </c>
      <c r="D336">
        <v>2831.64</v>
      </c>
      <c r="E336" t="s">
        <v>650</v>
      </c>
      <c r="F336">
        <v>4116.46</v>
      </c>
      <c r="G336" t="s">
        <v>650</v>
      </c>
      <c r="H336">
        <v>4364.6899999999996</v>
      </c>
      <c r="I336" t="s">
        <v>650</v>
      </c>
    </row>
    <row r="337" spans="3:9" x14ac:dyDescent="0.3">
      <c r="C337">
        <v>313</v>
      </c>
      <c r="D337">
        <v>1747.34</v>
      </c>
      <c r="E337" t="s">
        <v>650</v>
      </c>
      <c r="F337">
        <v>4333.12</v>
      </c>
      <c r="G337" t="s">
        <v>650</v>
      </c>
      <c r="H337">
        <v>2810.75</v>
      </c>
      <c r="I337" t="s">
        <v>650</v>
      </c>
    </row>
    <row r="338" spans="3:9" x14ac:dyDescent="0.3">
      <c r="C338">
        <v>314</v>
      </c>
      <c r="D338">
        <v>2284.67</v>
      </c>
      <c r="E338" t="s">
        <v>650</v>
      </c>
      <c r="F338">
        <v>2231.77</v>
      </c>
      <c r="G338" t="s">
        <v>650</v>
      </c>
      <c r="H338">
        <v>4297.5600000000004</v>
      </c>
      <c r="I338" t="s">
        <v>650</v>
      </c>
    </row>
    <row r="339" spans="3:9" x14ac:dyDescent="0.3">
      <c r="C339">
        <v>315</v>
      </c>
      <c r="D339">
        <v>2463.12</v>
      </c>
      <c r="E339" t="s">
        <v>650</v>
      </c>
      <c r="F339">
        <v>4033.84</v>
      </c>
      <c r="G339" t="s">
        <v>650</v>
      </c>
      <c r="H339">
        <v>3314.48</v>
      </c>
      <c r="I339" t="s">
        <v>650</v>
      </c>
    </row>
    <row r="340" spans="3:9" x14ac:dyDescent="0.3">
      <c r="C340">
        <v>316</v>
      </c>
      <c r="D340">
        <v>3350.38</v>
      </c>
      <c r="E340" t="s">
        <v>650</v>
      </c>
      <c r="F340">
        <v>3563.3</v>
      </c>
      <c r="G340" t="s">
        <v>650</v>
      </c>
      <c r="H340">
        <v>2639.71</v>
      </c>
      <c r="I340" t="s">
        <v>650</v>
      </c>
    </row>
    <row r="341" spans="3:9" x14ac:dyDescent="0.3">
      <c r="C341">
        <v>317</v>
      </c>
      <c r="D341">
        <v>3687.2</v>
      </c>
      <c r="E341" t="s">
        <v>650</v>
      </c>
      <c r="F341">
        <v>3729.98</v>
      </c>
      <c r="G341" t="s">
        <v>650</v>
      </c>
      <c r="H341">
        <v>1205.3</v>
      </c>
      <c r="I341" t="s">
        <v>650</v>
      </c>
    </row>
    <row r="342" spans="3:9" x14ac:dyDescent="0.3">
      <c r="C342">
        <v>318</v>
      </c>
      <c r="D342">
        <v>3349.1</v>
      </c>
      <c r="E342" t="s">
        <v>650</v>
      </c>
      <c r="F342">
        <v>5742.28</v>
      </c>
      <c r="G342" t="s">
        <v>650</v>
      </c>
      <c r="H342">
        <v>2302.8000000000002</v>
      </c>
      <c r="I342" t="s">
        <v>650</v>
      </c>
    </row>
    <row r="343" spans="3:9" x14ac:dyDescent="0.3">
      <c r="C343">
        <v>319</v>
      </c>
      <c r="D343">
        <v>2675.39</v>
      </c>
      <c r="E343" t="s">
        <v>650</v>
      </c>
      <c r="F343">
        <v>3057.54</v>
      </c>
      <c r="G343" t="s">
        <v>650</v>
      </c>
      <c r="H343">
        <v>2535.27</v>
      </c>
      <c r="I343" t="s">
        <v>650</v>
      </c>
    </row>
    <row r="344" spans="3:9" x14ac:dyDescent="0.3">
      <c r="C344">
        <v>320</v>
      </c>
      <c r="D344">
        <v>2918.19</v>
      </c>
      <c r="E344" t="s">
        <v>650</v>
      </c>
      <c r="F344">
        <v>3259.95</v>
      </c>
      <c r="G344" t="s">
        <v>650</v>
      </c>
      <c r="H344">
        <v>4452.5600000000004</v>
      </c>
      <c r="I344" t="s">
        <v>650</v>
      </c>
    </row>
    <row r="345" spans="3:9" x14ac:dyDescent="0.3">
      <c r="C345">
        <v>321</v>
      </c>
      <c r="D345">
        <v>3698</v>
      </c>
      <c r="E345" t="s">
        <v>650</v>
      </c>
      <c r="F345">
        <v>3546.06</v>
      </c>
      <c r="G345" t="s">
        <v>650</v>
      </c>
      <c r="H345">
        <v>2913.69</v>
      </c>
      <c r="I345" t="s">
        <v>650</v>
      </c>
    </row>
    <row r="346" spans="3:9" x14ac:dyDescent="0.3">
      <c r="C346">
        <v>322</v>
      </c>
      <c r="D346">
        <v>2088.06</v>
      </c>
      <c r="E346" t="s">
        <v>650</v>
      </c>
      <c r="F346">
        <v>3458.14</v>
      </c>
      <c r="G346" t="s">
        <v>650</v>
      </c>
      <c r="H346">
        <v>3437.93</v>
      </c>
      <c r="I346" t="s">
        <v>650</v>
      </c>
    </row>
    <row r="347" spans="3:9" x14ac:dyDescent="0.3">
      <c r="C347">
        <v>323</v>
      </c>
      <c r="D347">
        <v>3276.15</v>
      </c>
      <c r="E347" t="s">
        <v>650</v>
      </c>
      <c r="F347">
        <v>2753.04</v>
      </c>
      <c r="G347" t="s">
        <v>650</v>
      </c>
      <c r="H347">
        <v>2931.16</v>
      </c>
      <c r="I347" t="s">
        <v>650</v>
      </c>
    </row>
    <row r="348" spans="3:9" x14ac:dyDescent="0.3">
      <c r="C348">
        <v>324</v>
      </c>
      <c r="D348">
        <v>3290.62</v>
      </c>
      <c r="E348" t="s">
        <v>650</v>
      </c>
      <c r="F348">
        <v>2585.41</v>
      </c>
      <c r="G348" t="s">
        <v>650</v>
      </c>
      <c r="H348">
        <v>2530.88</v>
      </c>
      <c r="I348" t="s">
        <v>650</v>
      </c>
    </row>
    <row r="349" spans="3:9" x14ac:dyDescent="0.3">
      <c r="C349">
        <v>325</v>
      </c>
      <c r="D349">
        <v>3136.9</v>
      </c>
      <c r="E349" t="s">
        <v>650</v>
      </c>
      <c r="F349">
        <v>4316.8999999999996</v>
      </c>
      <c r="G349" t="s">
        <v>650</v>
      </c>
      <c r="H349">
        <v>3741.95</v>
      </c>
      <c r="I349" t="s">
        <v>650</v>
      </c>
    </row>
    <row r="350" spans="3:9" x14ac:dyDescent="0.3">
      <c r="C350">
        <v>326</v>
      </c>
      <c r="D350">
        <v>2173.98</v>
      </c>
      <c r="E350" t="s">
        <v>650</v>
      </c>
      <c r="F350">
        <v>2450.77</v>
      </c>
      <c r="G350" t="s">
        <v>650</v>
      </c>
      <c r="H350">
        <v>3743.78</v>
      </c>
      <c r="I350" t="s">
        <v>650</v>
      </c>
    </row>
    <row r="351" spans="3:9" x14ac:dyDescent="0.3">
      <c r="C351">
        <v>327</v>
      </c>
      <c r="D351">
        <v>2547.02</v>
      </c>
      <c r="E351" t="s">
        <v>650</v>
      </c>
      <c r="F351">
        <v>2793.47</v>
      </c>
      <c r="G351" t="s">
        <v>650</v>
      </c>
      <c r="H351">
        <v>4443.7</v>
      </c>
      <c r="I351" t="s">
        <v>650</v>
      </c>
    </row>
    <row r="352" spans="3:9" x14ac:dyDescent="0.3">
      <c r="C352">
        <v>328</v>
      </c>
      <c r="D352">
        <v>3371.84</v>
      </c>
      <c r="E352" t="s">
        <v>650</v>
      </c>
      <c r="F352">
        <v>2537.29</v>
      </c>
      <c r="G352" t="s">
        <v>650</v>
      </c>
      <c r="H352">
        <v>1836.85</v>
      </c>
      <c r="I352" t="s">
        <v>650</v>
      </c>
    </row>
    <row r="353" spans="3:9" x14ac:dyDescent="0.3">
      <c r="C353">
        <v>329</v>
      </c>
      <c r="D353">
        <v>3786.67</v>
      </c>
      <c r="E353" t="s">
        <v>650</v>
      </c>
      <c r="F353">
        <v>3823.05</v>
      </c>
      <c r="G353" t="s">
        <v>650</v>
      </c>
      <c r="H353">
        <v>2823.7</v>
      </c>
      <c r="I353" t="s">
        <v>650</v>
      </c>
    </row>
    <row r="354" spans="3:9" x14ac:dyDescent="0.3">
      <c r="C354">
        <v>330</v>
      </c>
      <c r="D354">
        <v>3376.03</v>
      </c>
      <c r="E354" t="s">
        <v>650</v>
      </c>
      <c r="F354">
        <v>2880.76</v>
      </c>
      <c r="G354" t="s">
        <v>650</v>
      </c>
      <c r="H354">
        <v>3090.69</v>
      </c>
      <c r="I354" t="s">
        <v>650</v>
      </c>
    </row>
    <row r="355" spans="3:9" x14ac:dyDescent="0.3">
      <c r="C355">
        <v>331</v>
      </c>
      <c r="D355">
        <v>1918.92</v>
      </c>
      <c r="E355" t="s">
        <v>650</v>
      </c>
      <c r="F355">
        <v>2333.17</v>
      </c>
      <c r="G355" t="s">
        <v>650</v>
      </c>
      <c r="H355">
        <v>4113.4399999999996</v>
      </c>
      <c r="I355" t="s">
        <v>650</v>
      </c>
    </row>
    <row r="356" spans="3:9" x14ac:dyDescent="0.3">
      <c r="C356">
        <v>332</v>
      </c>
      <c r="D356">
        <v>3601.74</v>
      </c>
      <c r="E356" t="s">
        <v>650</v>
      </c>
      <c r="F356">
        <v>2272.91</v>
      </c>
      <c r="G356" t="s">
        <v>650</v>
      </c>
      <c r="H356">
        <v>2203.4699999999998</v>
      </c>
      <c r="I356" t="s">
        <v>650</v>
      </c>
    </row>
    <row r="357" spans="3:9" x14ac:dyDescent="0.3">
      <c r="C357">
        <v>333</v>
      </c>
      <c r="D357">
        <v>3324.77</v>
      </c>
      <c r="E357" t="s">
        <v>650</v>
      </c>
      <c r="F357">
        <v>2445.06</v>
      </c>
      <c r="G357" t="s">
        <v>650</v>
      </c>
      <c r="H357">
        <v>3052.68</v>
      </c>
      <c r="I357" t="s">
        <v>650</v>
      </c>
    </row>
    <row r="358" spans="3:9" x14ac:dyDescent="0.3">
      <c r="C358">
        <v>334</v>
      </c>
      <c r="D358">
        <v>2872.14</v>
      </c>
      <c r="E358" t="s">
        <v>650</v>
      </c>
      <c r="F358">
        <v>3781.05</v>
      </c>
      <c r="G358" t="s">
        <v>650</v>
      </c>
      <c r="H358">
        <v>4936.6000000000004</v>
      </c>
      <c r="I358" t="s">
        <v>650</v>
      </c>
    </row>
    <row r="359" spans="3:9" x14ac:dyDescent="0.3">
      <c r="C359">
        <v>335</v>
      </c>
      <c r="D359">
        <v>3453.14</v>
      </c>
      <c r="E359" t="s">
        <v>650</v>
      </c>
      <c r="F359">
        <v>2576.3000000000002</v>
      </c>
      <c r="G359" t="s">
        <v>650</v>
      </c>
      <c r="H359">
        <v>3478.84</v>
      </c>
      <c r="I359" t="s">
        <v>650</v>
      </c>
    </row>
    <row r="360" spans="3:9" x14ac:dyDescent="0.3">
      <c r="C360">
        <v>336</v>
      </c>
      <c r="D360">
        <v>3997.19</v>
      </c>
      <c r="E360" t="s">
        <v>650</v>
      </c>
      <c r="F360">
        <v>2806.26</v>
      </c>
      <c r="G360" t="s">
        <v>650</v>
      </c>
      <c r="H360">
        <v>3155.11</v>
      </c>
      <c r="I360" t="s">
        <v>650</v>
      </c>
    </row>
    <row r="361" spans="3:9" x14ac:dyDescent="0.3">
      <c r="C361">
        <v>337</v>
      </c>
      <c r="D361">
        <v>2869.62</v>
      </c>
      <c r="E361" t="s">
        <v>650</v>
      </c>
      <c r="F361">
        <v>3216.34</v>
      </c>
      <c r="G361" t="s">
        <v>650</v>
      </c>
      <c r="H361">
        <v>4268.88</v>
      </c>
      <c r="I361" t="s">
        <v>650</v>
      </c>
    </row>
    <row r="362" spans="3:9" x14ac:dyDescent="0.3">
      <c r="C362">
        <v>338</v>
      </c>
      <c r="D362">
        <v>2397.16</v>
      </c>
      <c r="E362" t="s">
        <v>650</v>
      </c>
      <c r="F362">
        <v>3685.26</v>
      </c>
      <c r="G362" t="s">
        <v>650</v>
      </c>
      <c r="H362">
        <v>2711.34</v>
      </c>
      <c r="I362" t="s">
        <v>650</v>
      </c>
    </row>
    <row r="363" spans="3:9" x14ac:dyDescent="0.3">
      <c r="C363">
        <v>339</v>
      </c>
      <c r="D363">
        <v>3492.7</v>
      </c>
      <c r="E363" t="s">
        <v>650</v>
      </c>
      <c r="F363">
        <v>2332.09</v>
      </c>
      <c r="G363" t="s">
        <v>650</v>
      </c>
      <c r="H363">
        <v>3988.6</v>
      </c>
      <c r="I363" t="s">
        <v>650</v>
      </c>
    </row>
    <row r="364" spans="3:9" x14ac:dyDescent="0.3">
      <c r="C364">
        <v>340</v>
      </c>
      <c r="D364">
        <v>2117.7800000000002</v>
      </c>
      <c r="E364" t="s">
        <v>650</v>
      </c>
      <c r="F364">
        <v>3184.73</v>
      </c>
      <c r="G364" t="s">
        <v>650</v>
      </c>
      <c r="H364">
        <v>2625.36</v>
      </c>
      <c r="I364" t="s">
        <v>650</v>
      </c>
    </row>
    <row r="365" spans="3:9" x14ac:dyDescent="0.3">
      <c r="C365">
        <v>341</v>
      </c>
      <c r="D365">
        <v>3347.5</v>
      </c>
      <c r="E365" t="s">
        <v>650</v>
      </c>
      <c r="F365">
        <v>4305.25</v>
      </c>
      <c r="G365" t="s">
        <v>650</v>
      </c>
      <c r="H365">
        <v>3353.45</v>
      </c>
      <c r="I365" t="s">
        <v>650</v>
      </c>
    </row>
    <row r="366" spans="3:9" x14ac:dyDescent="0.3">
      <c r="C366">
        <v>342</v>
      </c>
      <c r="D366">
        <v>2978.2</v>
      </c>
      <c r="E366" t="s">
        <v>650</v>
      </c>
      <c r="F366">
        <v>2787.18</v>
      </c>
      <c r="G366" t="s">
        <v>650</v>
      </c>
      <c r="H366">
        <v>2974</v>
      </c>
      <c r="I366" t="s">
        <v>650</v>
      </c>
    </row>
    <row r="367" spans="3:9" x14ac:dyDescent="0.3">
      <c r="C367">
        <v>343</v>
      </c>
      <c r="D367">
        <v>1952.52</v>
      </c>
      <c r="E367" t="s">
        <v>650</v>
      </c>
      <c r="F367">
        <v>2359.1999999999998</v>
      </c>
      <c r="G367" t="s">
        <v>650</v>
      </c>
      <c r="H367">
        <v>2686.19</v>
      </c>
      <c r="I367" t="s">
        <v>650</v>
      </c>
    </row>
    <row r="368" spans="3:9" x14ac:dyDescent="0.3">
      <c r="C368">
        <v>344</v>
      </c>
      <c r="D368">
        <v>3421.78</v>
      </c>
      <c r="E368" t="s">
        <v>650</v>
      </c>
      <c r="F368">
        <v>1883.7</v>
      </c>
      <c r="G368" t="s">
        <v>650</v>
      </c>
      <c r="H368">
        <v>2569.6799999999998</v>
      </c>
      <c r="I368" t="s">
        <v>650</v>
      </c>
    </row>
    <row r="369" spans="3:9" x14ac:dyDescent="0.3">
      <c r="C369">
        <v>345</v>
      </c>
      <c r="D369">
        <v>2404.29</v>
      </c>
      <c r="E369" t="s">
        <v>650</v>
      </c>
      <c r="F369">
        <v>2802.49</v>
      </c>
      <c r="G369" t="s">
        <v>650</v>
      </c>
      <c r="H369">
        <v>3195.84</v>
      </c>
      <c r="I369" t="s">
        <v>650</v>
      </c>
    </row>
    <row r="370" spans="3:9" x14ac:dyDescent="0.3">
      <c r="C370">
        <v>346</v>
      </c>
      <c r="D370">
        <v>3010.52</v>
      </c>
      <c r="E370" t="s">
        <v>650</v>
      </c>
      <c r="F370">
        <v>2595.7199999999998</v>
      </c>
      <c r="G370" t="s">
        <v>650</v>
      </c>
      <c r="H370">
        <v>3892.14</v>
      </c>
      <c r="I370" t="s">
        <v>650</v>
      </c>
    </row>
    <row r="371" spans="3:9" x14ac:dyDescent="0.3">
      <c r="C371">
        <v>347</v>
      </c>
      <c r="D371">
        <v>3233.3</v>
      </c>
      <c r="E371" t="s">
        <v>650</v>
      </c>
      <c r="F371">
        <v>2529.29</v>
      </c>
      <c r="G371" t="s">
        <v>650</v>
      </c>
      <c r="H371">
        <v>3324.69</v>
      </c>
      <c r="I371" t="s">
        <v>650</v>
      </c>
    </row>
    <row r="372" spans="3:9" x14ac:dyDescent="0.3">
      <c r="C372">
        <v>348</v>
      </c>
      <c r="D372">
        <v>2549.85</v>
      </c>
      <c r="E372" t="s">
        <v>650</v>
      </c>
      <c r="F372">
        <v>1889.91</v>
      </c>
      <c r="G372" t="s">
        <v>650</v>
      </c>
      <c r="H372">
        <v>3551.44</v>
      </c>
      <c r="I372" t="s">
        <v>650</v>
      </c>
    </row>
    <row r="373" spans="3:9" x14ac:dyDescent="0.3">
      <c r="C373">
        <v>349</v>
      </c>
      <c r="D373">
        <v>3194.24</v>
      </c>
      <c r="E373" t="s">
        <v>650</v>
      </c>
      <c r="F373">
        <v>2924.48</v>
      </c>
      <c r="G373" t="s">
        <v>650</v>
      </c>
      <c r="H373">
        <v>4632.32</v>
      </c>
      <c r="I373" t="s">
        <v>650</v>
      </c>
    </row>
    <row r="374" spans="3:9" x14ac:dyDescent="0.3">
      <c r="C374">
        <v>350</v>
      </c>
      <c r="D374">
        <v>2942.61</v>
      </c>
      <c r="E374" t="s">
        <v>650</v>
      </c>
      <c r="F374">
        <v>4127.55</v>
      </c>
      <c r="G374" t="s">
        <v>650</v>
      </c>
      <c r="H374">
        <v>3882.79</v>
      </c>
      <c r="I374" t="s">
        <v>650</v>
      </c>
    </row>
    <row r="375" spans="3:9" x14ac:dyDescent="0.3">
      <c r="C375">
        <v>351</v>
      </c>
      <c r="D375">
        <v>2753.53</v>
      </c>
      <c r="E375" t="s">
        <v>650</v>
      </c>
      <c r="F375">
        <v>1503.55</v>
      </c>
      <c r="G375" t="s">
        <v>650</v>
      </c>
      <c r="H375">
        <v>3446.66</v>
      </c>
      <c r="I375" t="s">
        <v>650</v>
      </c>
    </row>
    <row r="376" spans="3:9" x14ac:dyDescent="0.3">
      <c r="C376">
        <v>352</v>
      </c>
      <c r="D376">
        <v>3005.61</v>
      </c>
      <c r="E376" t="s">
        <v>650</v>
      </c>
      <c r="F376">
        <v>4098.37</v>
      </c>
      <c r="G376" t="s">
        <v>650</v>
      </c>
      <c r="H376">
        <v>2346.2399999999998</v>
      </c>
      <c r="I376" t="s">
        <v>650</v>
      </c>
    </row>
    <row r="377" spans="3:9" x14ac:dyDescent="0.3">
      <c r="C377">
        <v>353</v>
      </c>
      <c r="D377">
        <v>3355.55</v>
      </c>
      <c r="E377" t="s">
        <v>650</v>
      </c>
      <c r="F377">
        <v>1270.72</v>
      </c>
      <c r="G377" t="s">
        <v>650</v>
      </c>
      <c r="H377">
        <v>2908.87</v>
      </c>
      <c r="I377" t="s">
        <v>650</v>
      </c>
    </row>
    <row r="378" spans="3:9" x14ac:dyDescent="0.3">
      <c r="C378">
        <v>354</v>
      </c>
      <c r="D378">
        <v>2971.41</v>
      </c>
      <c r="E378" t="s">
        <v>650</v>
      </c>
      <c r="F378">
        <v>2010.22</v>
      </c>
      <c r="G378" t="s">
        <v>650</v>
      </c>
      <c r="H378">
        <v>2905.13</v>
      </c>
      <c r="I378" t="s">
        <v>650</v>
      </c>
    </row>
    <row r="379" spans="3:9" x14ac:dyDescent="0.3">
      <c r="C379">
        <v>355</v>
      </c>
      <c r="D379">
        <v>3236.83</v>
      </c>
      <c r="E379" t="s">
        <v>650</v>
      </c>
      <c r="F379">
        <v>3196.74</v>
      </c>
      <c r="G379" t="s">
        <v>650</v>
      </c>
      <c r="H379">
        <v>2051.0700000000002</v>
      </c>
      <c r="I379" t="s">
        <v>650</v>
      </c>
    </row>
    <row r="380" spans="3:9" x14ac:dyDescent="0.3">
      <c r="C380">
        <v>356</v>
      </c>
      <c r="D380">
        <v>3428.73</v>
      </c>
      <c r="E380" t="s">
        <v>650</v>
      </c>
      <c r="F380">
        <v>3513.54</v>
      </c>
      <c r="G380" t="s">
        <v>650</v>
      </c>
      <c r="H380">
        <v>4215.58</v>
      </c>
      <c r="I380" t="s">
        <v>650</v>
      </c>
    </row>
    <row r="381" spans="3:9" x14ac:dyDescent="0.3">
      <c r="C381">
        <v>357</v>
      </c>
      <c r="D381">
        <v>2233.69</v>
      </c>
      <c r="E381" t="s">
        <v>650</v>
      </c>
      <c r="F381">
        <v>3286.78</v>
      </c>
      <c r="G381" t="s">
        <v>650</v>
      </c>
      <c r="H381">
        <v>3242.84</v>
      </c>
      <c r="I381" t="s">
        <v>650</v>
      </c>
    </row>
    <row r="382" spans="3:9" x14ac:dyDescent="0.3">
      <c r="C382">
        <v>358</v>
      </c>
      <c r="D382">
        <v>2237.37</v>
      </c>
      <c r="E382" t="s">
        <v>650</v>
      </c>
      <c r="F382">
        <v>3023.33</v>
      </c>
      <c r="G382" t="s">
        <v>650</v>
      </c>
      <c r="H382">
        <v>3188.04</v>
      </c>
      <c r="I382" t="s">
        <v>650</v>
      </c>
    </row>
    <row r="383" spans="3:9" x14ac:dyDescent="0.3">
      <c r="C383">
        <v>359</v>
      </c>
      <c r="D383">
        <v>3054.78</v>
      </c>
      <c r="E383" t="s">
        <v>650</v>
      </c>
      <c r="F383">
        <v>2867.82</v>
      </c>
      <c r="G383" t="s">
        <v>650</v>
      </c>
      <c r="H383">
        <v>3881.36</v>
      </c>
      <c r="I383" t="s">
        <v>650</v>
      </c>
    </row>
    <row r="384" spans="3:9" x14ac:dyDescent="0.3">
      <c r="C384">
        <v>360</v>
      </c>
      <c r="D384">
        <v>2596.79</v>
      </c>
      <c r="E384" t="s">
        <v>650</v>
      </c>
      <c r="F384">
        <v>2135.21</v>
      </c>
      <c r="G384" t="s">
        <v>650</v>
      </c>
      <c r="H384">
        <v>4746.13</v>
      </c>
      <c r="I384" t="s">
        <v>650</v>
      </c>
    </row>
    <row r="385" spans="3:9" x14ac:dyDescent="0.3">
      <c r="C385">
        <v>361</v>
      </c>
      <c r="D385">
        <v>2179.73</v>
      </c>
      <c r="E385" t="s">
        <v>650</v>
      </c>
      <c r="F385">
        <v>3128.87</v>
      </c>
      <c r="G385" t="s">
        <v>650</v>
      </c>
      <c r="H385">
        <v>3103.71</v>
      </c>
      <c r="I385" t="s">
        <v>650</v>
      </c>
    </row>
    <row r="386" spans="3:9" x14ac:dyDescent="0.3">
      <c r="C386">
        <v>362</v>
      </c>
      <c r="D386">
        <v>3554.97</v>
      </c>
      <c r="E386" t="s">
        <v>650</v>
      </c>
      <c r="F386">
        <v>3256.39</v>
      </c>
      <c r="G386" t="s">
        <v>650</v>
      </c>
      <c r="H386">
        <v>2683.63</v>
      </c>
      <c r="I386" t="s">
        <v>650</v>
      </c>
    </row>
    <row r="387" spans="3:9" x14ac:dyDescent="0.3">
      <c r="C387">
        <v>363</v>
      </c>
      <c r="D387">
        <v>3470.96</v>
      </c>
      <c r="E387" t="s">
        <v>650</v>
      </c>
      <c r="F387">
        <v>3605.28</v>
      </c>
      <c r="G387" t="s">
        <v>650</v>
      </c>
      <c r="H387">
        <v>3857.98</v>
      </c>
      <c r="I387" t="s">
        <v>650</v>
      </c>
    </row>
    <row r="388" spans="3:9" x14ac:dyDescent="0.3">
      <c r="C388">
        <v>364</v>
      </c>
      <c r="D388">
        <v>2802.62</v>
      </c>
      <c r="E388" t="s">
        <v>650</v>
      </c>
      <c r="F388">
        <v>1963.56</v>
      </c>
      <c r="G388" t="s">
        <v>650</v>
      </c>
      <c r="H388">
        <v>5261.96</v>
      </c>
      <c r="I388" t="s">
        <v>650</v>
      </c>
    </row>
    <row r="389" spans="3:9" x14ac:dyDescent="0.3">
      <c r="C389">
        <v>365</v>
      </c>
      <c r="D389">
        <v>3450.72</v>
      </c>
      <c r="E389" t="s">
        <v>650</v>
      </c>
      <c r="F389">
        <v>2083.13</v>
      </c>
      <c r="G389" t="s">
        <v>650</v>
      </c>
      <c r="H389">
        <v>2642.14</v>
      </c>
      <c r="I389" t="s">
        <v>650</v>
      </c>
    </row>
    <row r="390" spans="3:9" x14ac:dyDescent="0.3">
      <c r="C390">
        <v>366</v>
      </c>
      <c r="D390">
        <v>3858.73</v>
      </c>
      <c r="E390" t="s">
        <v>650</v>
      </c>
      <c r="F390">
        <v>2385.09</v>
      </c>
      <c r="G390" t="s">
        <v>650</v>
      </c>
      <c r="H390">
        <v>2785.29</v>
      </c>
      <c r="I390" t="s">
        <v>650</v>
      </c>
    </row>
    <row r="391" spans="3:9" x14ac:dyDescent="0.3">
      <c r="C391">
        <v>367</v>
      </c>
      <c r="D391">
        <v>2408.16</v>
      </c>
      <c r="E391" t="s">
        <v>650</v>
      </c>
      <c r="F391">
        <v>3075.71</v>
      </c>
      <c r="G391" t="s">
        <v>650</v>
      </c>
      <c r="H391">
        <v>3848.97</v>
      </c>
      <c r="I391" t="s">
        <v>650</v>
      </c>
    </row>
    <row r="392" spans="3:9" x14ac:dyDescent="0.3">
      <c r="C392">
        <v>368</v>
      </c>
      <c r="D392">
        <v>2708.8</v>
      </c>
      <c r="E392" t="s">
        <v>650</v>
      </c>
      <c r="F392">
        <v>2807.48</v>
      </c>
      <c r="G392" t="s">
        <v>650</v>
      </c>
      <c r="H392">
        <v>2792.69</v>
      </c>
      <c r="I392" t="s">
        <v>650</v>
      </c>
    </row>
    <row r="393" spans="3:9" x14ac:dyDescent="0.3">
      <c r="C393">
        <v>369</v>
      </c>
      <c r="D393">
        <v>3480.7</v>
      </c>
      <c r="E393" t="s">
        <v>650</v>
      </c>
      <c r="F393">
        <v>1483.18</v>
      </c>
      <c r="G393" t="s">
        <v>650</v>
      </c>
      <c r="H393">
        <v>3853.56</v>
      </c>
      <c r="I393" t="s">
        <v>650</v>
      </c>
    </row>
    <row r="394" spans="3:9" x14ac:dyDescent="0.3">
      <c r="C394">
        <v>370</v>
      </c>
      <c r="D394">
        <v>2868.28</v>
      </c>
      <c r="E394" t="s">
        <v>650</v>
      </c>
      <c r="F394">
        <v>3260.88</v>
      </c>
      <c r="G394" t="s">
        <v>650</v>
      </c>
      <c r="H394">
        <v>4361.58</v>
      </c>
      <c r="I394" t="s">
        <v>650</v>
      </c>
    </row>
    <row r="395" spans="3:9" x14ac:dyDescent="0.3">
      <c r="C395">
        <v>371</v>
      </c>
      <c r="D395">
        <v>3463.56</v>
      </c>
      <c r="E395" t="s">
        <v>650</v>
      </c>
      <c r="F395">
        <v>4043.43</v>
      </c>
      <c r="G395" t="s">
        <v>650</v>
      </c>
      <c r="H395">
        <v>2828.11</v>
      </c>
      <c r="I395" t="s">
        <v>650</v>
      </c>
    </row>
    <row r="396" spans="3:9" x14ac:dyDescent="0.3">
      <c r="C396">
        <v>372</v>
      </c>
      <c r="D396">
        <v>2666.94</v>
      </c>
      <c r="E396" t="s">
        <v>650</v>
      </c>
      <c r="F396">
        <v>2636.15</v>
      </c>
      <c r="G396" t="s">
        <v>650</v>
      </c>
      <c r="H396">
        <v>5272.43</v>
      </c>
      <c r="I396" t="s">
        <v>650</v>
      </c>
    </row>
    <row r="397" spans="3:9" x14ac:dyDescent="0.3">
      <c r="C397">
        <v>373</v>
      </c>
      <c r="D397">
        <v>3518.69</v>
      </c>
      <c r="E397" t="s">
        <v>650</v>
      </c>
      <c r="F397">
        <v>3905.9</v>
      </c>
      <c r="G397" t="s">
        <v>650</v>
      </c>
      <c r="H397">
        <v>3406.39</v>
      </c>
      <c r="I397" t="s">
        <v>650</v>
      </c>
    </row>
    <row r="398" spans="3:9" x14ac:dyDescent="0.3">
      <c r="C398">
        <v>374</v>
      </c>
      <c r="D398">
        <v>2951.29</v>
      </c>
      <c r="E398" t="s">
        <v>650</v>
      </c>
      <c r="F398">
        <v>3385.82</v>
      </c>
      <c r="G398" t="s">
        <v>650</v>
      </c>
      <c r="H398">
        <v>2868.7</v>
      </c>
      <c r="I398" t="s">
        <v>650</v>
      </c>
    </row>
    <row r="399" spans="3:9" x14ac:dyDescent="0.3">
      <c r="C399">
        <v>375</v>
      </c>
      <c r="D399">
        <v>3576.62</v>
      </c>
      <c r="E399" t="s">
        <v>650</v>
      </c>
      <c r="F399">
        <v>3547.87</v>
      </c>
      <c r="G399" t="s">
        <v>650</v>
      </c>
      <c r="H399">
        <v>3306.29</v>
      </c>
      <c r="I399" t="s">
        <v>650</v>
      </c>
    </row>
    <row r="400" spans="3:9" x14ac:dyDescent="0.3">
      <c r="C400">
        <v>376</v>
      </c>
      <c r="D400">
        <v>2394.34</v>
      </c>
      <c r="E400" t="s">
        <v>650</v>
      </c>
      <c r="F400">
        <v>4114.8</v>
      </c>
      <c r="G400" t="s">
        <v>650</v>
      </c>
      <c r="H400">
        <v>2501</v>
      </c>
      <c r="I400" t="s">
        <v>650</v>
      </c>
    </row>
    <row r="401" spans="3:9" x14ac:dyDescent="0.3">
      <c r="C401">
        <v>377</v>
      </c>
      <c r="D401">
        <v>1934.34</v>
      </c>
      <c r="E401" t="s">
        <v>650</v>
      </c>
      <c r="F401">
        <v>1697.94</v>
      </c>
      <c r="G401" t="s">
        <v>650</v>
      </c>
      <c r="H401">
        <v>2348.58</v>
      </c>
      <c r="I401" t="s">
        <v>650</v>
      </c>
    </row>
    <row r="402" spans="3:9" x14ac:dyDescent="0.3">
      <c r="C402">
        <v>378</v>
      </c>
      <c r="D402">
        <v>3205.51</v>
      </c>
      <c r="E402" t="s">
        <v>650</v>
      </c>
      <c r="F402">
        <v>2851.98</v>
      </c>
      <c r="G402" t="s">
        <v>650</v>
      </c>
      <c r="H402">
        <v>3895.84</v>
      </c>
      <c r="I402" t="s">
        <v>650</v>
      </c>
    </row>
    <row r="403" spans="3:9" x14ac:dyDescent="0.3">
      <c r="C403">
        <v>379</v>
      </c>
      <c r="D403">
        <v>2450</v>
      </c>
      <c r="E403" t="s">
        <v>650</v>
      </c>
      <c r="F403">
        <v>3239.4</v>
      </c>
      <c r="G403" t="s">
        <v>650</v>
      </c>
      <c r="H403">
        <v>2845.75</v>
      </c>
      <c r="I403" t="s">
        <v>650</v>
      </c>
    </row>
    <row r="404" spans="3:9" x14ac:dyDescent="0.3">
      <c r="C404">
        <v>380</v>
      </c>
      <c r="D404">
        <v>3998.06</v>
      </c>
      <c r="E404" t="s">
        <v>650</v>
      </c>
      <c r="F404">
        <v>3585.05</v>
      </c>
      <c r="G404" t="s">
        <v>650</v>
      </c>
      <c r="H404">
        <v>4050.8</v>
      </c>
      <c r="I404" t="s">
        <v>650</v>
      </c>
    </row>
    <row r="405" spans="3:9" x14ac:dyDescent="0.3">
      <c r="C405">
        <v>381</v>
      </c>
      <c r="D405">
        <v>2744.16</v>
      </c>
      <c r="E405" t="s">
        <v>650</v>
      </c>
      <c r="F405">
        <v>2866.22</v>
      </c>
      <c r="G405" t="s">
        <v>650</v>
      </c>
      <c r="H405">
        <v>3477.06</v>
      </c>
      <c r="I405" t="s">
        <v>650</v>
      </c>
    </row>
    <row r="406" spans="3:9" x14ac:dyDescent="0.3">
      <c r="C406">
        <v>382</v>
      </c>
      <c r="D406">
        <v>2613.46</v>
      </c>
      <c r="E406" t="s">
        <v>650</v>
      </c>
      <c r="F406">
        <v>4531.96</v>
      </c>
      <c r="G406" t="s">
        <v>650</v>
      </c>
      <c r="H406">
        <v>4539.1899999999996</v>
      </c>
      <c r="I406" t="s">
        <v>650</v>
      </c>
    </row>
    <row r="407" spans="3:9" x14ac:dyDescent="0.3">
      <c r="C407">
        <v>383</v>
      </c>
      <c r="D407">
        <v>3278.41</v>
      </c>
      <c r="E407" t="s">
        <v>650</v>
      </c>
      <c r="F407">
        <v>2612.9699999999998</v>
      </c>
      <c r="G407" t="s">
        <v>650</v>
      </c>
      <c r="H407">
        <v>2050.0500000000002</v>
      </c>
      <c r="I407" t="s">
        <v>650</v>
      </c>
    </row>
    <row r="408" spans="3:9" x14ac:dyDescent="0.3">
      <c r="C408">
        <v>384</v>
      </c>
      <c r="D408">
        <v>2865.54</v>
      </c>
      <c r="E408" t="s">
        <v>650</v>
      </c>
      <c r="F408">
        <v>1472.28</v>
      </c>
      <c r="G408" t="s">
        <v>650</v>
      </c>
      <c r="H408">
        <v>3657.31</v>
      </c>
      <c r="I408" t="s">
        <v>650</v>
      </c>
    </row>
    <row r="409" spans="3:9" x14ac:dyDescent="0.3">
      <c r="C409">
        <v>385</v>
      </c>
      <c r="D409">
        <v>3509.96</v>
      </c>
      <c r="E409" t="s">
        <v>650</v>
      </c>
      <c r="F409">
        <v>2864.87</v>
      </c>
      <c r="G409" t="s">
        <v>650</v>
      </c>
      <c r="H409">
        <v>3256.69</v>
      </c>
      <c r="I409" t="s">
        <v>650</v>
      </c>
    </row>
    <row r="410" spans="3:9" x14ac:dyDescent="0.3">
      <c r="C410">
        <v>386</v>
      </c>
      <c r="D410">
        <v>3163.39</v>
      </c>
      <c r="E410" t="s">
        <v>650</v>
      </c>
      <c r="F410">
        <v>2816.04</v>
      </c>
      <c r="G410" t="s">
        <v>650</v>
      </c>
      <c r="H410">
        <v>3439.41</v>
      </c>
      <c r="I410" t="s">
        <v>650</v>
      </c>
    </row>
    <row r="411" spans="3:9" x14ac:dyDescent="0.3">
      <c r="C411">
        <v>387</v>
      </c>
      <c r="D411">
        <v>2439.9299999999998</v>
      </c>
      <c r="E411" t="s">
        <v>650</v>
      </c>
      <c r="F411">
        <v>1476.53</v>
      </c>
      <c r="G411" t="s">
        <v>650</v>
      </c>
      <c r="H411">
        <v>3305.79</v>
      </c>
      <c r="I411" t="s">
        <v>650</v>
      </c>
    </row>
    <row r="412" spans="3:9" x14ac:dyDescent="0.3">
      <c r="C412">
        <v>388</v>
      </c>
      <c r="D412">
        <v>1830.15</v>
      </c>
      <c r="E412" t="s">
        <v>650</v>
      </c>
      <c r="F412">
        <v>2556.23</v>
      </c>
      <c r="G412" t="s">
        <v>650</v>
      </c>
      <c r="H412">
        <v>3407.57</v>
      </c>
      <c r="I412" t="s">
        <v>650</v>
      </c>
    </row>
    <row r="413" spans="3:9" x14ac:dyDescent="0.3">
      <c r="C413">
        <v>389</v>
      </c>
      <c r="D413">
        <v>2988.64</v>
      </c>
      <c r="E413" t="s">
        <v>650</v>
      </c>
      <c r="F413">
        <v>3632.17</v>
      </c>
      <c r="G413" t="s">
        <v>650</v>
      </c>
      <c r="H413">
        <v>3421.11</v>
      </c>
      <c r="I413" t="s">
        <v>650</v>
      </c>
    </row>
    <row r="414" spans="3:9" x14ac:dyDescent="0.3">
      <c r="C414">
        <v>390</v>
      </c>
      <c r="D414">
        <v>2904.51</v>
      </c>
      <c r="E414" t="s">
        <v>650</v>
      </c>
      <c r="F414">
        <v>3081.72</v>
      </c>
      <c r="G414" t="s">
        <v>650</v>
      </c>
      <c r="H414">
        <v>3168.5</v>
      </c>
      <c r="I414" t="s">
        <v>650</v>
      </c>
    </row>
    <row r="415" spans="3:9" x14ac:dyDescent="0.3">
      <c r="C415">
        <v>391</v>
      </c>
      <c r="D415">
        <v>2543.4499999999998</v>
      </c>
      <c r="E415" t="s">
        <v>650</v>
      </c>
      <c r="F415">
        <v>3005.8</v>
      </c>
      <c r="G415" t="s">
        <v>650</v>
      </c>
      <c r="H415">
        <v>3401.1</v>
      </c>
      <c r="I415" t="s">
        <v>650</v>
      </c>
    </row>
    <row r="416" spans="3:9" x14ac:dyDescent="0.3">
      <c r="C416">
        <v>392</v>
      </c>
      <c r="D416">
        <v>2660.66</v>
      </c>
      <c r="E416" t="s">
        <v>650</v>
      </c>
      <c r="F416">
        <v>2853.8</v>
      </c>
      <c r="G416" t="s">
        <v>650</v>
      </c>
      <c r="H416">
        <v>2979.13</v>
      </c>
      <c r="I416" t="s">
        <v>650</v>
      </c>
    </row>
    <row r="417" spans="3:9" x14ac:dyDescent="0.3">
      <c r="C417">
        <v>393</v>
      </c>
      <c r="D417">
        <v>2294.27</v>
      </c>
      <c r="E417" t="s">
        <v>650</v>
      </c>
      <c r="F417">
        <v>2150.8000000000002</v>
      </c>
      <c r="G417" t="s">
        <v>650</v>
      </c>
      <c r="H417">
        <v>3029.7</v>
      </c>
      <c r="I417" t="s">
        <v>650</v>
      </c>
    </row>
    <row r="418" spans="3:9" x14ac:dyDescent="0.3">
      <c r="C418">
        <v>394</v>
      </c>
      <c r="D418">
        <v>2862.1</v>
      </c>
      <c r="E418" t="s">
        <v>650</v>
      </c>
      <c r="F418">
        <v>3658.93</v>
      </c>
      <c r="G418" t="s">
        <v>650</v>
      </c>
      <c r="H418">
        <v>3384.37</v>
      </c>
      <c r="I418" t="s">
        <v>650</v>
      </c>
    </row>
    <row r="419" spans="3:9" x14ac:dyDescent="0.3">
      <c r="C419">
        <v>395</v>
      </c>
      <c r="D419">
        <v>2793.11</v>
      </c>
      <c r="E419" t="s">
        <v>650</v>
      </c>
      <c r="F419">
        <v>2250.3200000000002</v>
      </c>
      <c r="G419" t="s">
        <v>650</v>
      </c>
      <c r="H419">
        <v>3529.11</v>
      </c>
      <c r="I419" t="s">
        <v>650</v>
      </c>
    </row>
    <row r="420" spans="3:9" x14ac:dyDescent="0.3">
      <c r="C420">
        <v>396</v>
      </c>
      <c r="D420">
        <v>3046.19</v>
      </c>
      <c r="E420" t="s">
        <v>650</v>
      </c>
      <c r="F420">
        <v>3592.45</v>
      </c>
      <c r="G420" t="s">
        <v>650</v>
      </c>
      <c r="H420">
        <v>3457.53</v>
      </c>
      <c r="I420" t="s">
        <v>650</v>
      </c>
    </row>
    <row r="421" spans="3:9" x14ac:dyDescent="0.3">
      <c r="C421">
        <v>397</v>
      </c>
      <c r="D421">
        <v>3839.68</v>
      </c>
      <c r="E421" t="s">
        <v>650</v>
      </c>
      <c r="F421">
        <v>3133.09</v>
      </c>
      <c r="G421" t="s">
        <v>650</v>
      </c>
      <c r="H421">
        <v>3276.42</v>
      </c>
      <c r="I421" t="s">
        <v>650</v>
      </c>
    </row>
    <row r="422" spans="3:9" x14ac:dyDescent="0.3">
      <c r="C422">
        <v>398</v>
      </c>
      <c r="D422">
        <v>3157.4</v>
      </c>
      <c r="E422" t="s">
        <v>650</v>
      </c>
      <c r="F422">
        <v>2475.5</v>
      </c>
      <c r="G422" t="s">
        <v>650</v>
      </c>
      <c r="H422">
        <v>3007.64</v>
      </c>
      <c r="I422" t="s">
        <v>650</v>
      </c>
    </row>
    <row r="423" spans="3:9" x14ac:dyDescent="0.3">
      <c r="C423">
        <v>399</v>
      </c>
      <c r="D423">
        <v>2955.07</v>
      </c>
      <c r="E423" t="s">
        <v>650</v>
      </c>
      <c r="F423">
        <v>2401.06</v>
      </c>
      <c r="G423" t="s">
        <v>650</v>
      </c>
      <c r="H423">
        <v>4211.7700000000004</v>
      </c>
      <c r="I423" t="s">
        <v>650</v>
      </c>
    </row>
    <row r="424" spans="3:9" x14ac:dyDescent="0.3">
      <c r="C424">
        <v>400</v>
      </c>
      <c r="D424">
        <v>2036.78</v>
      </c>
      <c r="E424" t="s">
        <v>650</v>
      </c>
      <c r="F424">
        <v>4171.22</v>
      </c>
      <c r="G424" t="s">
        <v>650</v>
      </c>
      <c r="H424">
        <v>1854.98</v>
      </c>
      <c r="I424" t="s">
        <v>650</v>
      </c>
    </row>
    <row r="425" spans="3:9" x14ac:dyDescent="0.3">
      <c r="C425">
        <v>401</v>
      </c>
      <c r="D425">
        <v>2804.54</v>
      </c>
      <c r="E425" t="s">
        <v>650</v>
      </c>
      <c r="F425">
        <v>3018.45</v>
      </c>
      <c r="G425" t="s">
        <v>650</v>
      </c>
      <c r="H425">
        <v>4281.54</v>
      </c>
      <c r="I425" t="s">
        <v>650</v>
      </c>
    </row>
    <row r="426" spans="3:9" x14ac:dyDescent="0.3">
      <c r="C426">
        <v>402</v>
      </c>
      <c r="D426">
        <v>3506.06</v>
      </c>
      <c r="E426" t="s">
        <v>650</v>
      </c>
      <c r="F426">
        <v>3229.41</v>
      </c>
      <c r="G426" t="s">
        <v>650</v>
      </c>
      <c r="H426">
        <v>5120.99</v>
      </c>
      <c r="I426" t="s">
        <v>650</v>
      </c>
    </row>
    <row r="427" spans="3:9" x14ac:dyDescent="0.3">
      <c r="C427">
        <v>403</v>
      </c>
      <c r="D427">
        <v>2357.33</v>
      </c>
      <c r="E427" t="s">
        <v>650</v>
      </c>
      <c r="F427">
        <v>3277.95</v>
      </c>
      <c r="G427" t="s">
        <v>650</v>
      </c>
      <c r="H427">
        <v>4082.73</v>
      </c>
      <c r="I427" t="s">
        <v>650</v>
      </c>
    </row>
    <row r="428" spans="3:9" x14ac:dyDescent="0.3">
      <c r="C428">
        <v>404</v>
      </c>
      <c r="D428">
        <v>2284.15</v>
      </c>
      <c r="E428" t="s">
        <v>650</v>
      </c>
      <c r="F428">
        <v>3257.06</v>
      </c>
      <c r="G428" t="s">
        <v>650</v>
      </c>
      <c r="H428">
        <v>2393.6999999999998</v>
      </c>
      <c r="I428" t="s">
        <v>650</v>
      </c>
    </row>
    <row r="429" spans="3:9" x14ac:dyDescent="0.3">
      <c r="C429">
        <v>405</v>
      </c>
      <c r="D429">
        <v>3107.43</v>
      </c>
      <c r="E429" t="s">
        <v>650</v>
      </c>
      <c r="F429">
        <v>3045.43</v>
      </c>
      <c r="G429" t="s">
        <v>650</v>
      </c>
      <c r="H429">
        <v>2868.64</v>
      </c>
      <c r="I429" t="s">
        <v>650</v>
      </c>
    </row>
    <row r="430" spans="3:9" x14ac:dyDescent="0.3">
      <c r="C430">
        <v>406</v>
      </c>
      <c r="D430">
        <v>2230.27</v>
      </c>
      <c r="E430" t="s">
        <v>650</v>
      </c>
      <c r="F430">
        <v>2231.19</v>
      </c>
      <c r="G430" t="s">
        <v>650</v>
      </c>
      <c r="H430">
        <v>3368.32</v>
      </c>
      <c r="I430" t="s">
        <v>650</v>
      </c>
    </row>
    <row r="431" spans="3:9" x14ac:dyDescent="0.3">
      <c r="C431">
        <v>407</v>
      </c>
      <c r="D431">
        <v>2247.31</v>
      </c>
      <c r="E431" t="s">
        <v>650</v>
      </c>
      <c r="F431">
        <v>3169.86</v>
      </c>
      <c r="G431" t="s">
        <v>650</v>
      </c>
      <c r="H431">
        <v>4211.6400000000003</v>
      </c>
      <c r="I431" t="s">
        <v>650</v>
      </c>
    </row>
    <row r="432" spans="3:9" x14ac:dyDescent="0.3">
      <c r="C432">
        <v>408</v>
      </c>
      <c r="D432">
        <v>2771.76</v>
      </c>
      <c r="E432" t="s">
        <v>650</v>
      </c>
      <c r="F432">
        <v>2837.6</v>
      </c>
      <c r="G432" t="s">
        <v>650</v>
      </c>
      <c r="H432">
        <v>3789.75</v>
      </c>
      <c r="I432" t="s">
        <v>650</v>
      </c>
    </row>
    <row r="433" spans="3:9" x14ac:dyDescent="0.3">
      <c r="C433">
        <v>409</v>
      </c>
      <c r="D433">
        <v>3002.21</v>
      </c>
      <c r="E433" t="s">
        <v>650</v>
      </c>
      <c r="F433">
        <v>2054.44</v>
      </c>
      <c r="G433" t="s">
        <v>650</v>
      </c>
      <c r="H433">
        <v>974.21</v>
      </c>
      <c r="I433" t="s">
        <v>650</v>
      </c>
    </row>
    <row r="434" spans="3:9" x14ac:dyDescent="0.3">
      <c r="C434">
        <v>410</v>
      </c>
      <c r="D434">
        <v>2735.57</v>
      </c>
      <c r="E434" t="s">
        <v>650</v>
      </c>
      <c r="F434">
        <v>3600.43</v>
      </c>
      <c r="G434" t="s">
        <v>650</v>
      </c>
      <c r="H434">
        <v>3310.89</v>
      </c>
      <c r="I434" t="s">
        <v>650</v>
      </c>
    </row>
    <row r="435" spans="3:9" x14ac:dyDescent="0.3">
      <c r="C435">
        <v>411</v>
      </c>
      <c r="D435">
        <v>2958.38</v>
      </c>
      <c r="E435" t="s">
        <v>650</v>
      </c>
      <c r="F435">
        <v>2909.4</v>
      </c>
      <c r="G435" t="s">
        <v>650</v>
      </c>
      <c r="H435">
        <v>4073.43</v>
      </c>
      <c r="I435" t="s">
        <v>650</v>
      </c>
    </row>
    <row r="436" spans="3:9" x14ac:dyDescent="0.3">
      <c r="C436">
        <v>412</v>
      </c>
      <c r="D436">
        <v>3355.59</v>
      </c>
      <c r="E436" t="s">
        <v>650</v>
      </c>
      <c r="F436">
        <v>3361.24</v>
      </c>
      <c r="G436" t="s">
        <v>650</v>
      </c>
      <c r="H436">
        <v>3380.84</v>
      </c>
      <c r="I436" t="s">
        <v>650</v>
      </c>
    </row>
    <row r="437" spans="3:9" x14ac:dyDescent="0.3">
      <c r="C437">
        <v>413</v>
      </c>
      <c r="D437">
        <v>2850.4</v>
      </c>
      <c r="E437" t="s">
        <v>650</v>
      </c>
      <c r="F437">
        <v>4152.54</v>
      </c>
      <c r="G437" t="s">
        <v>650</v>
      </c>
      <c r="H437">
        <v>3691.33</v>
      </c>
      <c r="I437" t="s">
        <v>650</v>
      </c>
    </row>
    <row r="438" spans="3:9" x14ac:dyDescent="0.3">
      <c r="C438">
        <v>414</v>
      </c>
      <c r="D438">
        <v>3488.99</v>
      </c>
      <c r="E438" t="s">
        <v>650</v>
      </c>
      <c r="F438">
        <v>3581.72</v>
      </c>
      <c r="G438" t="s">
        <v>650</v>
      </c>
      <c r="H438">
        <v>4899.67</v>
      </c>
      <c r="I438" t="s">
        <v>650</v>
      </c>
    </row>
    <row r="439" spans="3:9" x14ac:dyDescent="0.3">
      <c r="C439">
        <v>415</v>
      </c>
      <c r="D439">
        <v>2728.8</v>
      </c>
      <c r="E439" t="s">
        <v>650</v>
      </c>
      <c r="F439">
        <v>3041.44</v>
      </c>
      <c r="G439" t="s">
        <v>650</v>
      </c>
      <c r="H439">
        <v>3400.87</v>
      </c>
      <c r="I439" t="s">
        <v>650</v>
      </c>
    </row>
    <row r="440" spans="3:9" x14ac:dyDescent="0.3">
      <c r="C440">
        <v>416</v>
      </c>
      <c r="D440">
        <v>2088.5700000000002</v>
      </c>
      <c r="E440" t="s">
        <v>650</v>
      </c>
      <c r="F440">
        <v>2184.9499999999998</v>
      </c>
      <c r="G440" t="s">
        <v>650</v>
      </c>
      <c r="H440">
        <v>4417.83</v>
      </c>
      <c r="I440" t="s">
        <v>650</v>
      </c>
    </row>
    <row r="441" spans="3:9" x14ac:dyDescent="0.3">
      <c r="C441">
        <v>417</v>
      </c>
      <c r="D441">
        <v>3918.56</v>
      </c>
      <c r="E441" t="s">
        <v>650</v>
      </c>
      <c r="F441">
        <v>3562.97</v>
      </c>
      <c r="G441" t="s">
        <v>650</v>
      </c>
      <c r="H441">
        <v>3468.16</v>
      </c>
      <c r="I441" t="s">
        <v>650</v>
      </c>
    </row>
    <row r="442" spans="3:9" x14ac:dyDescent="0.3">
      <c r="C442">
        <v>418</v>
      </c>
      <c r="D442">
        <v>3030.51</v>
      </c>
      <c r="E442" t="s">
        <v>650</v>
      </c>
      <c r="F442">
        <v>2475.42</v>
      </c>
      <c r="G442" t="s">
        <v>650</v>
      </c>
      <c r="H442">
        <v>4984.6499999999996</v>
      </c>
      <c r="I442" t="s">
        <v>650</v>
      </c>
    </row>
    <row r="443" spans="3:9" x14ac:dyDescent="0.3">
      <c r="C443">
        <v>419</v>
      </c>
      <c r="D443">
        <v>3228.54</v>
      </c>
      <c r="E443" t="s">
        <v>650</v>
      </c>
      <c r="F443">
        <v>2188.8000000000002</v>
      </c>
      <c r="G443" t="s">
        <v>650</v>
      </c>
      <c r="H443">
        <v>3541.96</v>
      </c>
      <c r="I443" t="s">
        <v>650</v>
      </c>
    </row>
    <row r="444" spans="3:9" x14ac:dyDescent="0.3">
      <c r="C444">
        <v>420</v>
      </c>
      <c r="D444">
        <v>2794.96</v>
      </c>
      <c r="E444" t="s">
        <v>650</v>
      </c>
      <c r="F444">
        <v>3542.44</v>
      </c>
      <c r="G444" t="s">
        <v>650</v>
      </c>
      <c r="H444">
        <v>3426.06</v>
      </c>
      <c r="I444" t="s">
        <v>650</v>
      </c>
    </row>
    <row r="445" spans="3:9" x14ac:dyDescent="0.3">
      <c r="C445">
        <v>421</v>
      </c>
      <c r="D445">
        <v>3816.95</v>
      </c>
      <c r="E445" t="s">
        <v>650</v>
      </c>
      <c r="F445">
        <v>2556.7399999999998</v>
      </c>
      <c r="G445" t="s">
        <v>650</v>
      </c>
      <c r="H445">
        <v>3245.37</v>
      </c>
      <c r="I445" t="s">
        <v>650</v>
      </c>
    </row>
    <row r="446" spans="3:9" x14ac:dyDescent="0.3">
      <c r="C446">
        <v>422</v>
      </c>
      <c r="D446">
        <v>2297.4899999999998</v>
      </c>
      <c r="E446" t="s">
        <v>650</v>
      </c>
      <c r="F446">
        <v>2900.1</v>
      </c>
      <c r="G446" t="s">
        <v>650</v>
      </c>
      <c r="H446">
        <v>2330.06</v>
      </c>
      <c r="I446" t="s">
        <v>650</v>
      </c>
    </row>
    <row r="447" spans="3:9" x14ac:dyDescent="0.3">
      <c r="C447">
        <v>423</v>
      </c>
      <c r="D447">
        <v>2692.26</v>
      </c>
      <c r="E447" t="s">
        <v>650</v>
      </c>
      <c r="F447">
        <v>3466.74</v>
      </c>
      <c r="G447" t="s">
        <v>650</v>
      </c>
      <c r="H447">
        <v>2534.87</v>
      </c>
      <c r="I447" t="s">
        <v>650</v>
      </c>
    </row>
    <row r="448" spans="3:9" x14ac:dyDescent="0.3">
      <c r="C448">
        <v>424</v>
      </c>
      <c r="D448">
        <v>2945.63</v>
      </c>
      <c r="E448" t="s">
        <v>650</v>
      </c>
      <c r="F448">
        <v>2295.9499999999998</v>
      </c>
      <c r="G448" t="s">
        <v>650</v>
      </c>
      <c r="H448">
        <v>4079.41</v>
      </c>
      <c r="I448" t="s">
        <v>650</v>
      </c>
    </row>
    <row r="449" spans="3:9" x14ac:dyDescent="0.3">
      <c r="C449">
        <v>425</v>
      </c>
      <c r="D449">
        <v>2198.84</v>
      </c>
      <c r="E449" t="s">
        <v>650</v>
      </c>
      <c r="F449">
        <v>2303.62</v>
      </c>
      <c r="G449" t="s">
        <v>650</v>
      </c>
      <c r="H449">
        <v>2320.2800000000002</v>
      </c>
      <c r="I449" t="s">
        <v>650</v>
      </c>
    </row>
    <row r="450" spans="3:9" x14ac:dyDescent="0.3">
      <c r="C450">
        <v>426</v>
      </c>
      <c r="D450">
        <v>2958.62</v>
      </c>
      <c r="E450" t="s">
        <v>650</v>
      </c>
      <c r="F450">
        <v>3091.79</v>
      </c>
      <c r="G450" t="s">
        <v>650</v>
      </c>
      <c r="H450">
        <v>2584.19</v>
      </c>
      <c r="I450" t="s">
        <v>650</v>
      </c>
    </row>
    <row r="451" spans="3:9" x14ac:dyDescent="0.3">
      <c r="C451">
        <v>427</v>
      </c>
      <c r="D451">
        <v>2101.04</v>
      </c>
      <c r="E451" t="s">
        <v>650</v>
      </c>
      <c r="F451">
        <v>3929.06</v>
      </c>
      <c r="G451" t="s">
        <v>650</v>
      </c>
      <c r="H451">
        <v>2057.5100000000002</v>
      </c>
      <c r="I451" t="s">
        <v>650</v>
      </c>
    </row>
    <row r="452" spans="3:9" x14ac:dyDescent="0.3">
      <c r="C452">
        <v>428</v>
      </c>
      <c r="D452">
        <v>3829.17</v>
      </c>
      <c r="E452" t="s">
        <v>650</v>
      </c>
      <c r="F452">
        <v>2612.79</v>
      </c>
      <c r="G452" t="s">
        <v>650</v>
      </c>
      <c r="H452">
        <v>4972.76</v>
      </c>
      <c r="I452" t="s">
        <v>650</v>
      </c>
    </row>
    <row r="453" spans="3:9" x14ac:dyDescent="0.3">
      <c r="C453">
        <v>429</v>
      </c>
      <c r="D453">
        <v>2651.56</v>
      </c>
      <c r="E453" t="s">
        <v>650</v>
      </c>
      <c r="F453">
        <v>3105.97</v>
      </c>
      <c r="G453" t="s">
        <v>650</v>
      </c>
      <c r="H453">
        <v>3006.31</v>
      </c>
      <c r="I453" t="s">
        <v>650</v>
      </c>
    </row>
    <row r="454" spans="3:9" x14ac:dyDescent="0.3">
      <c r="C454">
        <v>430</v>
      </c>
      <c r="D454">
        <v>3239.07</v>
      </c>
      <c r="E454" t="s">
        <v>650</v>
      </c>
      <c r="F454">
        <v>3440.87</v>
      </c>
      <c r="G454" t="s">
        <v>650</v>
      </c>
      <c r="H454">
        <v>3753.87</v>
      </c>
      <c r="I454" t="s">
        <v>650</v>
      </c>
    </row>
    <row r="455" spans="3:9" x14ac:dyDescent="0.3">
      <c r="C455">
        <v>431</v>
      </c>
      <c r="D455">
        <v>3036.3</v>
      </c>
      <c r="E455" t="s">
        <v>650</v>
      </c>
      <c r="F455">
        <v>2460.19</v>
      </c>
      <c r="G455" t="s">
        <v>650</v>
      </c>
      <c r="H455">
        <v>1847.43</v>
      </c>
      <c r="I455" t="s">
        <v>650</v>
      </c>
    </row>
    <row r="456" spans="3:9" x14ac:dyDescent="0.3">
      <c r="C456">
        <v>432</v>
      </c>
      <c r="D456">
        <v>2229.48</v>
      </c>
      <c r="E456" t="s">
        <v>650</v>
      </c>
      <c r="F456">
        <v>3167.94</v>
      </c>
      <c r="G456" t="s">
        <v>650</v>
      </c>
      <c r="H456">
        <v>3532.35</v>
      </c>
      <c r="I456" t="s">
        <v>650</v>
      </c>
    </row>
    <row r="457" spans="3:9" x14ac:dyDescent="0.3">
      <c r="C457">
        <v>433</v>
      </c>
      <c r="D457">
        <v>3840.21</v>
      </c>
      <c r="E457" t="s">
        <v>650</v>
      </c>
      <c r="F457">
        <v>2273.17</v>
      </c>
      <c r="G457" t="s">
        <v>650</v>
      </c>
      <c r="H457">
        <v>3975.31</v>
      </c>
      <c r="I457" t="s">
        <v>650</v>
      </c>
    </row>
    <row r="458" spans="3:9" x14ac:dyDescent="0.3">
      <c r="C458">
        <v>434</v>
      </c>
      <c r="D458">
        <v>3661.41</v>
      </c>
      <c r="E458" t="s">
        <v>650</v>
      </c>
      <c r="F458">
        <v>2557.54</v>
      </c>
      <c r="G458" t="s">
        <v>650</v>
      </c>
      <c r="H458">
        <v>4002.88</v>
      </c>
      <c r="I458" t="s">
        <v>650</v>
      </c>
    </row>
    <row r="459" spans="3:9" x14ac:dyDescent="0.3">
      <c r="C459">
        <v>435</v>
      </c>
      <c r="D459">
        <v>3614.39</v>
      </c>
      <c r="E459" t="s">
        <v>650</v>
      </c>
      <c r="F459">
        <v>2192.0500000000002</v>
      </c>
      <c r="G459" t="s">
        <v>650</v>
      </c>
      <c r="H459">
        <v>1838.64</v>
      </c>
      <c r="I459" t="s">
        <v>650</v>
      </c>
    </row>
    <row r="460" spans="3:9" x14ac:dyDescent="0.3">
      <c r="C460">
        <v>436</v>
      </c>
      <c r="D460">
        <v>3839.92</v>
      </c>
      <c r="E460" t="s">
        <v>650</v>
      </c>
      <c r="F460">
        <v>2715.86</v>
      </c>
      <c r="G460" t="s">
        <v>650</v>
      </c>
      <c r="H460">
        <v>1915.62</v>
      </c>
      <c r="I460" t="s">
        <v>650</v>
      </c>
    </row>
    <row r="461" spans="3:9" x14ac:dyDescent="0.3">
      <c r="C461">
        <v>437</v>
      </c>
      <c r="D461">
        <v>3394.33</v>
      </c>
      <c r="E461" t="s">
        <v>650</v>
      </c>
      <c r="F461">
        <v>3246.53</v>
      </c>
      <c r="G461" t="s">
        <v>650</v>
      </c>
      <c r="H461">
        <v>4541.7700000000004</v>
      </c>
      <c r="I461" t="s">
        <v>650</v>
      </c>
    </row>
    <row r="462" spans="3:9" x14ac:dyDescent="0.3">
      <c r="C462">
        <v>438</v>
      </c>
      <c r="D462">
        <v>3991.97</v>
      </c>
      <c r="E462" t="s">
        <v>650</v>
      </c>
      <c r="F462">
        <v>1882.86</v>
      </c>
      <c r="G462" t="s">
        <v>650</v>
      </c>
      <c r="H462">
        <v>3582.8</v>
      </c>
      <c r="I462" t="s">
        <v>650</v>
      </c>
    </row>
    <row r="463" spans="3:9" x14ac:dyDescent="0.3">
      <c r="C463">
        <v>439</v>
      </c>
      <c r="D463">
        <v>2896.42</v>
      </c>
      <c r="E463" t="s">
        <v>650</v>
      </c>
      <c r="F463">
        <v>1518.5</v>
      </c>
      <c r="G463" t="s">
        <v>650</v>
      </c>
      <c r="H463">
        <v>4254.33</v>
      </c>
      <c r="I463" t="s">
        <v>650</v>
      </c>
    </row>
    <row r="464" spans="3:9" x14ac:dyDescent="0.3">
      <c r="C464">
        <v>440</v>
      </c>
      <c r="D464">
        <v>2209.2600000000002</v>
      </c>
      <c r="E464" t="s">
        <v>650</v>
      </c>
      <c r="F464">
        <v>2343.4699999999998</v>
      </c>
      <c r="G464" t="s">
        <v>650</v>
      </c>
      <c r="H464">
        <v>3489.67</v>
      </c>
      <c r="I464" t="s">
        <v>650</v>
      </c>
    </row>
    <row r="465" spans="3:9" x14ac:dyDescent="0.3">
      <c r="C465">
        <v>441</v>
      </c>
      <c r="D465">
        <v>2820.8</v>
      </c>
      <c r="E465" t="s">
        <v>650</v>
      </c>
      <c r="F465">
        <v>3164.16</v>
      </c>
      <c r="G465" t="s">
        <v>650</v>
      </c>
      <c r="H465">
        <v>2184.41</v>
      </c>
      <c r="I465" t="s">
        <v>650</v>
      </c>
    </row>
    <row r="466" spans="3:9" x14ac:dyDescent="0.3">
      <c r="C466">
        <v>442</v>
      </c>
      <c r="D466">
        <v>4180.78</v>
      </c>
      <c r="E466" t="s">
        <v>650</v>
      </c>
      <c r="F466">
        <v>1716.38</v>
      </c>
      <c r="G466" t="s">
        <v>650</v>
      </c>
      <c r="H466">
        <v>4642.32</v>
      </c>
      <c r="I466" t="s">
        <v>650</v>
      </c>
    </row>
    <row r="467" spans="3:9" x14ac:dyDescent="0.3">
      <c r="C467">
        <v>443</v>
      </c>
      <c r="D467">
        <v>2153.9699999999998</v>
      </c>
      <c r="E467" t="s">
        <v>650</v>
      </c>
      <c r="F467">
        <v>2721.01</v>
      </c>
      <c r="G467" t="s">
        <v>650</v>
      </c>
      <c r="H467">
        <v>3661.31</v>
      </c>
      <c r="I467" t="s">
        <v>650</v>
      </c>
    </row>
    <row r="468" spans="3:9" x14ac:dyDescent="0.3">
      <c r="C468">
        <v>444</v>
      </c>
      <c r="D468">
        <v>2560.66</v>
      </c>
      <c r="E468" t="s">
        <v>650</v>
      </c>
      <c r="F468">
        <v>3742.96</v>
      </c>
      <c r="G468" t="s">
        <v>650</v>
      </c>
      <c r="H468">
        <v>2995.26</v>
      </c>
      <c r="I468" t="s">
        <v>650</v>
      </c>
    </row>
    <row r="469" spans="3:9" x14ac:dyDescent="0.3">
      <c r="C469">
        <v>445</v>
      </c>
      <c r="D469">
        <v>3210.56</v>
      </c>
      <c r="E469" t="s">
        <v>650</v>
      </c>
      <c r="F469">
        <v>3293.71</v>
      </c>
      <c r="G469" t="s">
        <v>650</v>
      </c>
      <c r="H469">
        <v>3528.96</v>
      </c>
      <c r="I469" t="s">
        <v>650</v>
      </c>
    </row>
    <row r="470" spans="3:9" x14ac:dyDescent="0.3">
      <c r="C470">
        <v>446</v>
      </c>
      <c r="D470">
        <v>2771.31</v>
      </c>
      <c r="E470" t="s">
        <v>650</v>
      </c>
      <c r="F470">
        <v>3789.33</v>
      </c>
      <c r="G470" t="s">
        <v>650</v>
      </c>
      <c r="H470">
        <v>3537.28</v>
      </c>
      <c r="I470" t="s">
        <v>650</v>
      </c>
    </row>
    <row r="471" spans="3:9" x14ac:dyDescent="0.3">
      <c r="C471">
        <v>447</v>
      </c>
      <c r="D471">
        <v>2654.61</v>
      </c>
      <c r="E471" t="s">
        <v>650</v>
      </c>
      <c r="F471">
        <v>4136.33</v>
      </c>
      <c r="G471" t="s">
        <v>650</v>
      </c>
      <c r="H471">
        <v>3942.98</v>
      </c>
      <c r="I471" t="s">
        <v>650</v>
      </c>
    </row>
    <row r="472" spans="3:9" x14ac:dyDescent="0.3">
      <c r="C472">
        <v>448</v>
      </c>
      <c r="D472">
        <v>3545.14</v>
      </c>
      <c r="E472" t="s">
        <v>650</v>
      </c>
      <c r="F472">
        <v>3476.03</v>
      </c>
      <c r="G472" t="s">
        <v>650</v>
      </c>
      <c r="H472">
        <v>3329.14</v>
      </c>
      <c r="I472" t="s">
        <v>650</v>
      </c>
    </row>
    <row r="473" spans="3:9" x14ac:dyDescent="0.3">
      <c r="C473">
        <v>449</v>
      </c>
      <c r="D473">
        <v>2818.25</v>
      </c>
      <c r="E473" t="s">
        <v>650</v>
      </c>
      <c r="F473">
        <v>2632.9</v>
      </c>
      <c r="G473" t="s">
        <v>650</v>
      </c>
      <c r="H473">
        <v>4410.43</v>
      </c>
      <c r="I473" t="s">
        <v>650</v>
      </c>
    </row>
    <row r="474" spans="3:9" x14ac:dyDescent="0.3">
      <c r="C474">
        <v>450</v>
      </c>
      <c r="D474">
        <v>2363.92</v>
      </c>
      <c r="E474" t="s">
        <v>650</v>
      </c>
      <c r="F474">
        <v>2375.37</v>
      </c>
      <c r="G474" t="s">
        <v>650</v>
      </c>
      <c r="H474">
        <v>4566.41</v>
      </c>
      <c r="I474" t="s">
        <v>650</v>
      </c>
    </row>
    <row r="475" spans="3:9" x14ac:dyDescent="0.3">
      <c r="C475">
        <v>451</v>
      </c>
      <c r="D475">
        <v>2425.96</v>
      </c>
      <c r="E475" t="s">
        <v>650</v>
      </c>
      <c r="F475">
        <v>2489.94</v>
      </c>
      <c r="G475" t="s">
        <v>650</v>
      </c>
      <c r="H475">
        <v>2826.56</v>
      </c>
      <c r="I475" t="s">
        <v>650</v>
      </c>
    </row>
    <row r="476" spans="3:9" x14ac:dyDescent="0.3">
      <c r="C476">
        <v>452</v>
      </c>
      <c r="D476">
        <v>2603.67</v>
      </c>
      <c r="E476" t="s">
        <v>650</v>
      </c>
      <c r="F476">
        <v>3539.82</v>
      </c>
      <c r="G476" t="s">
        <v>650</v>
      </c>
      <c r="H476">
        <v>3406.84</v>
      </c>
      <c r="I476" t="s">
        <v>650</v>
      </c>
    </row>
    <row r="477" spans="3:9" x14ac:dyDescent="0.3">
      <c r="C477">
        <v>453</v>
      </c>
      <c r="D477">
        <v>3079.92</v>
      </c>
      <c r="E477" t="s">
        <v>650</v>
      </c>
      <c r="F477">
        <v>2369.5</v>
      </c>
      <c r="G477" t="s">
        <v>650</v>
      </c>
      <c r="H477">
        <v>2660.69</v>
      </c>
      <c r="I477" t="s">
        <v>650</v>
      </c>
    </row>
    <row r="478" spans="3:9" x14ac:dyDescent="0.3">
      <c r="C478">
        <v>454</v>
      </c>
      <c r="D478">
        <v>3800.59</v>
      </c>
      <c r="E478" t="s">
        <v>650</v>
      </c>
      <c r="F478">
        <v>5278.82</v>
      </c>
      <c r="G478" t="s">
        <v>650</v>
      </c>
      <c r="H478">
        <v>4679.6499999999996</v>
      </c>
      <c r="I478" t="s">
        <v>650</v>
      </c>
    </row>
    <row r="479" spans="3:9" x14ac:dyDescent="0.3">
      <c r="C479">
        <v>455</v>
      </c>
      <c r="D479">
        <v>2029.68</v>
      </c>
      <c r="E479" t="s">
        <v>650</v>
      </c>
      <c r="F479">
        <v>3093.5</v>
      </c>
      <c r="G479" t="s">
        <v>650</v>
      </c>
      <c r="H479">
        <v>3346.14</v>
      </c>
      <c r="I479" t="s">
        <v>650</v>
      </c>
    </row>
    <row r="480" spans="3:9" x14ac:dyDescent="0.3">
      <c r="C480">
        <v>456</v>
      </c>
      <c r="D480">
        <v>1973.39</v>
      </c>
      <c r="E480" t="s">
        <v>650</v>
      </c>
      <c r="F480">
        <v>3785.22</v>
      </c>
      <c r="G480" t="s">
        <v>650</v>
      </c>
      <c r="H480">
        <v>3698.58</v>
      </c>
      <c r="I480" t="s">
        <v>650</v>
      </c>
    </row>
    <row r="481" spans="3:9" x14ac:dyDescent="0.3">
      <c r="C481">
        <v>457</v>
      </c>
      <c r="D481">
        <v>2521.94</v>
      </c>
      <c r="E481" t="s">
        <v>650</v>
      </c>
      <c r="F481">
        <v>2816.03</v>
      </c>
      <c r="G481" t="s">
        <v>650</v>
      </c>
      <c r="H481">
        <v>3021.33</v>
      </c>
      <c r="I481" t="s">
        <v>650</v>
      </c>
    </row>
    <row r="482" spans="3:9" x14ac:dyDescent="0.3">
      <c r="C482">
        <v>458</v>
      </c>
      <c r="D482">
        <v>2733.9</v>
      </c>
      <c r="E482" t="s">
        <v>650</v>
      </c>
      <c r="F482">
        <v>2022.91</v>
      </c>
      <c r="G482" t="s">
        <v>650</v>
      </c>
      <c r="H482">
        <v>3474.16</v>
      </c>
      <c r="I482" t="s">
        <v>650</v>
      </c>
    </row>
    <row r="483" spans="3:9" x14ac:dyDescent="0.3">
      <c r="C483">
        <v>459</v>
      </c>
      <c r="D483">
        <v>3241.09</v>
      </c>
      <c r="E483" t="s">
        <v>650</v>
      </c>
      <c r="F483">
        <v>3116.3</v>
      </c>
      <c r="G483" t="s">
        <v>650</v>
      </c>
      <c r="H483">
        <v>4634.54</v>
      </c>
      <c r="I483" t="s">
        <v>650</v>
      </c>
    </row>
    <row r="484" spans="3:9" x14ac:dyDescent="0.3">
      <c r="C484">
        <v>460</v>
      </c>
      <c r="D484">
        <v>2639.03</v>
      </c>
      <c r="E484" t="s">
        <v>650</v>
      </c>
      <c r="F484">
        <v>4770.88</v>
      </c>
      <c r="G484" t="s">
        <v>650</v>
      </c>
      <c r="H484">
        <v>3941.9</v>
      </c>
      <c r="I484" t="s">
        <v>650</v>
      </c>
    </row>
    <row r="485" spans="3:9" x14ac:dyDescent="0.3">
      <c r="C485">
        <v>461</v>
      </c>
      <c r="D485">
        <v>3426.74</v>
      </c>
      <c r="E485" t="s">
        <v>650</v>
      </c>
      <c r="F485">
        <v>3652.02</v>
      </c>
      <c r="G485" t="s">
        <v>650</v>
      </c>
      <c r="H485">
        <v>2694.13</v>
      </c>
      <c r="I485" t="s">
        <v>650</v>
      </c>
    </row>
    <row r="486" spans="3:9" x14ac:dyDescent="0.3">
      <c r="C486">
        <v>462</v>
      </c>
      <c r="D486">
        <v>1878.99</v>
      </c>
      <c r="E486" t="s">
        <v>650</v>
      </c>
      <c r="F486">
        <v>3872.04</v>
      </c>
      <c r="G486" t="s">
        <v>650</v>
      </c>
      <c r="H486">
        <v>1914.41</v>
      </c>
      <c r="I486" t="s">
        <v>650</v>
      </c>
    </row>
    <row r="487" spans="3:9" x14ac:dyDescent="0.3">
      <c r="C487">
        <v>463</v>
      </c>
      <c r="D487">
        <v>2976.71</v>
      </c>
      <c r="E487" t="s">
        <v>650</v>
      </c>
      <c r="F487">
        <v>2501.9499999999998</v>
      </c>
      <c r="G487" t="s">
        <v>650</v>
      </c>
      <c r="H487">
        <v>3505.04</v>
      </c>
      <c r="I487" t="s">
        <v>650</v>
      </c>
    </row>
    <row r="488" spans="3:9" x14ac:dyDescent="0.3">
      <c r="C488">
        <v>464</v>
      </c>
      <c r="D488">
        <v>1484.35</v>
      </c>
      <c r="E488" t="s">
        <v>650</v>
      </c>
      <c r="F488">
        <v>2341.56</v>
      </c>
      <c r="G488" t="s">
        <v>650</v>
      </c>
      <c r="H488">
        <v>2624.97</v>
      </c>
      <c r="I488" t="s">
        <v>650</v>
      </c>
    </row>
    <row r="489" spans="3:9" x14ac:dyDescent="0.3">
      <c r="C489">
        <v>465</v>
      </c>
      <c r="D489">
        <v>3701.57</v>
      </c>
      <c r="E489" t="s">
        <v>650</v>
      </c>
      <c r="F489">
        <v>3788.27</v>
      </c>
      <c r="G489" t="s">
        <v>650</v>
      </c>
      <c r="H489">
        <v>4003.78</v>
      </c>
      <c r="I489" t="s">
        <v>650</v>
      </c>
    </row>
    <row r="490" spans="3:9" x14ac:dyDescent="0.3">
      <c r="C490">
        <v>466</v>
      </c>
      <c r="D490">
        <v>3334.92</v>
      </c>
      <c r="E490" t="s">
        <v>650</v>
      </c>
      <c r="F490">
        <v>1364.58</v>
      </c>
      <c r="G490" t="s">
        <v>650</v>
      </c>
      <c r="H490">
        <v>3376.63</v>
      </c>
      <c r="I490" t="s">
        <v>650</v>
      </c>
    </row>
    <row r="491" spans="3:9" x14ac:dyDescent="0.3">
      <c r="C491">
        <v>467</v>
      </c>
      <c r="D491">
        <v>3963.53</v>
      </c>
      <c r="E491" t="s">
        <v>650</v>
      </c>
      <c r="F491">
        <v>3127.21</v>
      </c>
      <c r="G491" t="s">
        <v>650</v>
      </c>
      <c r="H491">
        <v>2509.8200000000002</v>
      </c>
      <c r="I491" t="s">
        <v>650</v>
      </c>
    </row>
    <row r="492" spans="3:9" x14ac:dyDescent="0.3">
      <c r="C492">
        <v>468</v>
      </c>
      <c r="D492">
        <v>3395.98</v>
      </c>
      <c r="E492" t="s">
        <v>650</v>
      </c>
      <c r="F492">
        <v>2028.91</v>
      </c>
      <c r="G492" t="s">
        <v>650</v>
      </c>
      <c r="H492">
        <v>2912.85</v>
      </c>
      <c r="I492" t="s">
        <v>650</v>
      </c>
    </row>
    <row r="493" spans="3:9" x14ac:dyDescent="0.3">
      <c r="C493">
        <v>469</v>
      </c>
      <c r="D493">
        <v>3678.75</v>
      </c>
      <c r="E493" t="s">
        <v>650</v>
      </c>
      <c r="F493">
        <v>3066.46</v>
      </c>
      <c r="G493" t="s">
        <v>650</v>
      </c>
      <c r="H493">
        <v>2860.73</v>
      </c>
      <c r="I493" t="s">
        <v>650</v>
      </c>
    </row>
    <row r="494" spans="3:9" x14ac:dyDescent="0.3">
      <c r="C494">
        <v>470</v>
      </c>
      <c r="D494">
        <v>1938.58</v>
      </c>
      <c r="E494" t="s">
        <v>650</v>
      </c>
      <c r="F494">
        <v>3271.25</v>
      </c>
      <c r="G494" t="s">
        <v>650</v>
      </c>
      <c r="H494">
        <v>4205.9799999999996</v>
      </c>
      <c r="I494" t="s">
        <v>650</v>
      </c>
    </row>
    <row r="495" spans="3:9" x14ac:dyDescent="0.3">
      <c r="C495">
        <v>471</v>
      </c>
      <c r="D495">
        <v>2296.8200000000002</v>
      </c>
      <c r="E495" t="s">
        <v>650</v>
      </c>
      <c r="F495">
        <v>2382.86</v>
      </c>
      <c r="G495" t="s">
        <v>650</v>
      </c>
      <c r="H495">
        <v>3555.6</v>
      </c>
      <c r="I495" t="s">
        <v>650</v>
      </c>
    </row>
    <row r="496" spans="3:9" x14ac:dyDescent="0.3">
      <c r="C496">
        <v>472</v>
      </c>
      <c r="D496">
        <v>2801.01</v>
      </c>
      <c r="E496" t="s">
        <v>650</v>
      </c>
      <c r="F496">
        <v>2448.39</v>
      </c>
      <c r="G496" t="s">
        <v>650</v>
      </c>
      <c r="H496">
        <v>4446.63</v>
      </c>
      <c r="I496" t="s">
        <v>650</v>
      </c>
    </row>
    <row r="497" spans="3:9" x14ac:dyDescent="0.3">
      <c r="C497">
        <v>473</v>
      </c>
      <c r="D497">
        <v>2989.71</v>
      </c>
      <c r="E497" t="s">
        <v>650</v>
      </c>
      <c r="F497">
        <v>2874.19</v>
      </c>
      <c r="G497" t="s">
        <v>650</v>
      </c>
      <c r="H497">
        <v>3933.88</v>
      </c>
      <c r="I497" t="s">
        <v>650</v>
      </c>
    </row>
    <row r="498" spans="3:9" x14ac:dyDescent="0.3">
      <c r="C498">
        <v>474</v>
      </c>
      <c r="D498">
        <v>2151.6</v>
      </c>
      <c r="E498" t="s">
        <v>650</v>
      </c>
      <c r="F498">
        <v>2047.77</v>
      </c>
      <c r="G498" t="s">
        <v>650</v>
      </c>
      <c r="H498">
        <v>3810.43</v>
      </c>
      <c r="I498" t="s">
        <v>650</v>
      </c>
    </row>
    <row r="499" spans="3:9" x14ac:dyDescent="0.3">
      <c r="C499">
        <v>475</v>
      </c>
      <c r="D499">
        <v>2432.6799999999998</v>
      </c>
      <c r="E499" t="s">
        <v>650</v>
      </c>
      <c r="F499">
        <v>2804.19</v>
      </c>
      <c r="G499" t="s">
        <v>650</v>
      </c>
      <c r="H499">
        <v>1486.05</v>
      </c>
      <c r="I499" t="s">
        <v>650</v>
      </c>
    </row>
    <row r="500" spans="3:9" x14ac:dyDescent="0.3">
      <c r="C500">
        <v>476</v>
      </c>
      <c r="D500">
        <v>2849.86</v>
      </c>
      <c r="E500" t="s">
        <v>650</v>
      </c>
      <c r="F500">
        <v>1412.72</v>
      </c>
      <c r="G500" t="s">
        <v>650</v>
      </c>
      <c r="H500">
        <v>2794.65</v>
      </c>
      <c r="I500" t="s">
        <v>650</v>
      </c>
    </row>
    <row r="501" spans="3:9" x14ac:dyDescent="0.3">
      <c r="C501">
        <v>477</v>
      </c>
      <c r="D501">
        <v>2676.75</v>
      </c>
      <c r="E501" t="s">
        <v>650</v>
      </c>
      <c r="F501">
        <v>2756.75</v>
      </c>
      <c r="G501" t="s">
        <v>650</v>
      </c>
      <c r="H501">
        <v>4316</v>
      </c>
      <c r="I501" t="s">
        <v>650</v>
      </c>
    </row>
    <row r="502" spans="3:9" x14ac:dyDescent="0.3">
      <c r="C502">
        <v>478</v>
      </c>
      <c r="D502">
        <v>2578.1999999999998</v>
      </c>
      <c r="E502" t="s">
        <v>650</v>
      </c>
      <c r="F502">
        <v>2675.59</v>
      </c>
      <c r="G502" t="s">
        <v>650</v>
      </c>
      <c r="H502">
        <v>3445.84</v>
      </c>
      <c r="I502" t="s">
        <v>650</v>
      </c>
    </row>
    <row r="503" spans="3:9" x14ac:dyDescent="0.3">
      <c r="C503">
        <v>479</v>
      </c>
      <c r="D503">
        <v>1617</v>
      </c>
      <c r="E503" t="s">
        <v>650</v>
      </c>
      <c r="F503">
        <v>3321.94</v>
      </c>
      <c r="G503" t="s">
        <v>650</v>
      </c>
      <c r="H503">
        <v>2605.56</v>
      </c>
      <c r="I503" t="s">
        <v>650</v>
      </c>
    </row>
    <row r="504" spans="3:9" x14ac:dyDescent="0.3">
      <c r="C504">
        <v>480</v>
      </c>
      <c r="D504">
        <v>4023.89</v>
      </c>
      <c r="E504" t="s">
        <v>650</v>
      </c>
      <c r="F504">
        <v>4103</v>
      </c>
      <c r="G504" t="s">
        <v>650</v>
      </c>
      <c r="H504">
        <v>3877.11</v>
      </c>
      <c r="I504" t="s">
        <v>650</v>
      </c>
    </row>
    <row r="505" spans="3:9" x14ac:dyDescent="0.3">
      <c r="C505">
        <v>481</v>
      </c>
      <c r="D505">
        <v>3872.26</v>
      </c>
      <c r="E505" t="s">
        <v>650</v>
      </c>
      <c r="F505">
        <v>1786.45</v>
      </c>
      <c r="G505" t="s">
        <v>650</v>
      </c>
      <c r="H505">
        <v>4089.6</v>
      </c>
      <c r="I505" t="s">
        <v>650</v>
      </c>
    </row>
    <row r="506" spans="3:9" x14ac:dyDescent="0.3">
      <c r="C506">
        <v>482</v>
      </c>
      <c r="D506">
        <v>2011.24</v>
      </c>
      <c r="E506" t="s">
        <v>650</v>
      </c>
      <c r="F506">
        <v>3144.43</v>
      </c>
      <c r="G506" t="s">
        <v>650</v>
      </c>
      <c r="H506">
        <v>3729.74</v>
      </c>
      <c r="I506" t="s">
        <v>650</v>
      </c>
    </row>
    <row r="507" spans="3:9" x14ac:dyDescent="0.3">
      <c r="C507">
        <v>483</v>
      </c>
      <c r="D507">
        <v>3134.59</v>
      </c>
      <c r="E507" t="s">
        <v>650</v>
      </c>
      <c r="F507">
        <v>2861.29</v>
      </c>
      <c r="G507" t="s">
        <v>650</v>
      </c>
      <c r="H507">
        <v>3692.75</v>
      </c>
      <c r="I507" t="s">
        <v>650</v>
      </c>
    </row>
    <row r="508" spans="3:9" x14ac:dyDescent="0.3">
      <c r="C508">
        <v>484</v>
      </c>
      <c r="D508">
        <v>2366.94</v>
      </c>
      <c r="E508" t="s">
        <v>650</v>
      </c>
      <c r="F508">
        <v>3801.5</v>
      </c>
      <c r="G508" t="s">
        <v>650</v>
      </c>
      <c r="H508">
        <v>2968.96</v>
      </c>
      <c r="I508" t="s">
        <v>650</v>
      </c>
    </row>
    <row r="509" spans="3:9" x14ac:dyDescent="0.3">
      <c r="C509">
        <v>485</v>
      </c>
      <c r="D509">
        <v>2521.0100000000002</v>
      </c>
      <c r="E509" t="s">
        <v>650</v>
      </c>
      <c r="F509">
        <v>1272.5899999999999</v>
      </c>
      <c r="G509" t="s">
        <v>650</v>
      </c>
      <c r="H509">
        <v>3651.83</v>
      </c>
      <c r="I509" t="s">
        <v>650</v>
      </c>
    </row>
    <row r="510" spans="3:9" x14ac:dyDescent="0.3">
      <c r="C510">
        <v>486</v>
      </c>
      <c r="D510">
        <v>2954.47</v>
      </c>
      <c r="E510" t="s">
        <v>650</v>
      </c>
      <c r="F510">
        <v>3837.85</v>
      </c>
      <c r="G510" t="s">
        <v>650</v>
      </c>
      <c r="H510">
        <v>3381.38</v>
      </c>
      <c r="I510" t="s">
        <v>650</v>
      </c>
    </row>
    <row r="511" spans="3:9" x14ac:dyDescent="0.3">
      <c r="C511">
        <v>487</v>
      </c>
      <c r="D511">
        <v>4085.71</v>
      </c>
      <c r="E511" t="s">
        <v>650</v>
      </c>
      <c r="F511">
        <v>4113.7299999999996</v>
      </c>
      <c r="G511" t="s">
        <v>650</v>
      </c>
      <c r="H511">
        <v>2690.6</v>
      </c>
      <c r="I511" t="s">
        <v>650</v>
      </c>
    </row>
    <row r="512" spans="3:9" x14ac:dyDescent="0.3">
      <c r="C512">
        <v>488</v>
      </c>
      <c r="D512">
        <v>2446.4499999999998</v>
      </c>
      <c r="E512" t="s">
        <v>650</v>
      </c>
      <c r="F512">
        <v>2625.48</v>
      </c>
      <c r="G512" t="s">
        <v>650</v>
      </c>
      <c r="H512">
        <v>1854.82</v>
      </c>
      <c r="I512" t="s">
        <v>650</v>
      </c>
    </row>
    <row r="513" spans="3:9" x14ac:dyDescent="0.3">
      <c r="C513">
        <v>489</v>
      </c>
      <c r="D513">
        <v>2962.31</v>
      </c>
      <c r="E513" t="s">
        <v>650</v>
      </c>
      <c r="F513">
        <v>2785.01</v>
      </c>
      <c r="G513" t="s">
        <v>650</v>
      </c>
      <c r="H513">
        <v>4205.58</v>
      </c>
      <c r="I513" t="s">
        <v>650</v>
      </c>
    </row>
    <row r="514" spans="3:9" x14ac:dyDescent="0.3">
      <c r="C514">
        <v>490</v>
      </c>
      <c r="D514">
        <v>3314.14</v>
      </c>
      <c r="E514" t="s">
        <v>650</v>
      </c>
      <c r="F514">
        <v>3034.77</v>
      </c>
      <c r="G514" t="s">
        <v>650</v>
      </c>
      <c r="H514">
        <v>2929.49</v>
      </c>
      <c r="I514" t="s">
        <v>650</v>
      </c>
    </row>
    <row r="515" spans="3:9" x14ac:dyDescent="0.3">
      <c r="C515">
        <v>491</v>
      </c>
      <c r="D515">
        <v>3241.02</v>
      </c>
      <c r="E515" t="s">
        <v>650</v>
      </c>
      <c r="F515">
        <v>2898.11</v>
      </c>
      <c r="G515" t="s">
        <v>650</v>
      </c>
      <c r="H515">
        <v>3089.53</v>
      </c>
      <c r="I515" t="s">
        <v>650</v>
      </c>
    </row>
    <row r="516" spans="3:9" x14ac:dyDescent="0.3">
      <c r="C516">
        <v>492</v>
      </c>
      <c r="D516">
        <v>3816.43</v>
      </c>
      <c r="E516" t="s">
        <v>650</v>
      </c>
      <c r="F516">
        <v>2682.76</v>
      </c>
      <c r="G516" t="s">
        <v>650</v>
      </c>
      <c r="H516">
        <v>3755.57</v>
      </c>
      <c r="I516" t="s">
        <v>650</v>
      </c>
    </row>
    <row r="517" spans="3:9" x14ac:dyDescent="0.3">
      <c r="C517">
        <v>493</v>
      </c>
      <c r="D517">
        <v>2347.0300000000002</v>
      </c>
      <c r="E517" t="s">
        <v>650</v>
      </c>
      <c r="F517">
        <v>2754.36</v>
      </c>
      <c r="G517" t="s">
        <v>650</v>
      </c>
      <c r="H517">
        <v>4090.9</v>
      </c>
      <c r="I517" t="s">
        <v>650</v>
      </c>
    </row>
    <row r="518" spans="3:9" x14ac:dyDescent="0.3">
      <c r="C518">
        <v>494</v>
      </c>
      <c r="D518">
        <v>2458.5100000000002</v>
      </c>
      <c r="E518" t="s">
        <v>650</v>
      </c>
      <c r="F518">
        <v>2569.3000000000002</v>
      </c>
      <c r="G518" t="s">
        <v>650</v>
      </c>
      <c r="H518">
        <v>2999.8</v>
      </c>
      <c r="I518" t="s">
        <v>650</v>
      </c>
    </row>
    <row r="519" spans="3:9" x14ac:dyDescent="0.3">
      <c r="C519">
        <v>495</v>
      </c>
      <c r="D519">
        <v>3552.7</v>
      </c>
      <c r="E519" t="s">
        <v>650</v>
      </c>
      <c r="F519">
        <v>2326.7800000000002</v>
      </c>
      <c r="G519" t="s">
        <v>650</v>
      </c>
      <c r="H519">
        <v>3804.2</v>
      </c>
      <c r="I519" t="s">
        <v>650</v>
      </c>
    </row>
    <row r="520" spans="3:9" x14ac:dyDescent="0.3">
      <c r="C520">
        <v>496</v>
      </c>
      <c r="D520">
        <v>2392.1799999999998</v>
      </c>
      <c r="E520" t="s">
        <v>650</v>
      </c>
      <c r="F520">
        <v>3156.38</v>
      </c>
      <c r="G520" t="s">
        <v>650</v>
      </c>
      <c r="H520">
        <v>3268.68</v>
      </c>
      <c r="I520" t="s">
        <v>650</v>
      </c>
    </row>
    <row r="521" spans="3:9" x14ac:dyDescent="0.3">
      <c r="C521">
        <v>497</v>
      </c>
      <c r="D521">
        <v>3689.75</v>
      </c>
      <c r="E521" t="s">
        <v>650</v>
      </c>
      <c r="F521">
        <v>2863.02</v>
      </c>
      <c r="G521" t="s">
        <v>650</v>
      </c>
      <c r="H521">
        <v>2812</v>
      </c>
      <c r="I521" t="s">
        <v>650</v>
      </c>
    </row>
    <row r="522" spans="3:9" x14ac:dyDescent="0.3">
      <c r="C522">
        <v>498</v>
      </c>
      <c r="D522">
        <v>3624.8</v>
      </c>
      <c r="E522" t="s">
        <v>650</v>
      </c>
      <c r="F522">
        <v>3493.77</v>
      </c>
      <c r="G522" t="s">
        <v>650</v>
      </c>
      <c r="H522">
        <v>2918.72</v>
      </c>
      <c r="I522" t="s">
        <v>650</v>
      </c>
    </row>
    <row r="523" spans="3:9" x14ac:dyDescent="0.3">
      <c r="C523">
        <v>499</v>
      </c>
      <c r="D523">
        <v>2256.96</v>
      </c>
      <c r="E523" t="s">
        <v>650</v>
      </c>
      <c r="F523">
        <v>2585.27</v>
      </c>
      <c r="G523" t="s">
        <v>650</v>
      </c>
      <c r="H523">
        <v>2732.14</v>
      </c>
      <c r="I523" t="s">
        <v>650</v>
      </c>
    </row>
    <row r="524" spans="3:9" x14ac:dyDescent="0.3">
      <c r="C524">
        <v>500</v>
      </c>
      <c r="D524">
        <v>3342.31</v>
      </c>
      <c r="E524" t="s">
        <v>650</v>
      </c>
      <c r="F524">
        <v>2885.69</v>
      </c>
      <c r="G524" t="s">
        <v>650</v>
      </c>
      <c r="H524">
        <v>4110.78</v>
      </c>
      <c r="I524" t="s">
        <v>650</v>
      </c>
    </row>
    <row r="525" spans="3:9" x14ac:dyDescent="0.3">
      <c r="C525">
        <v>501</v>
      </c>
      <c r="D525">
        <v>3190.49</v>
      </c>
      <c r="E525" t="s">
        <v>650</v>
      </c>
      <c r="F525">
        <v>3925.95</v>
      </c>
      <c r="G525" t="s">
        <v>650</v>
      </c>
      <c r="H525">
        <v>3313.62</v>
      </c>
      <c r="I525" t="s">
        <v>650</v>
      </c>
    </row>
    <row r="526" spans="3:9" x14ac:dyDescent="0.3">
      <c r="C526">
        <v>502</v>
      </c>
      <c r="D526">
        <v>2525.64</v>
      </c>
      <c r="E526" t="s">
        <v>650</v>
      </c>
      <c r="F526">
        <v>2721.76</v>
      </c>
      <c r="G526" t="s">
        <v>650</v>
      </c>
      <c r="H526">
        <v>4522.13</v>
      </c>
      <c r="I526" t="s">
        <v>650</v>
      </c>
    </row>
    <row r="527" spans="3:9" x14ac:dyDescent="0.3">
      <c r="C527">
        <v>503</v>
      </c>
      <c r="D527">
        <v>2639.92</v>
      </c>
      <c r="E527" t="s">
        <v>650</v>
      </c>
      <c r="F527">
        <v>3168.23</v>
      </c>
      <c r="G527" t="s">
        <v>650</v>
      </c>
      <c r="H527">
        <v>2254.02</v>
      </c>
      <c r="I527" t="s">
        <v>650</v>
      </c>
    </row>
    <row r="528" spans="3:9" x14ac:dyDescent="0.3">
      <c r="C528">
        <v>504</v>
      </c>
      <c r="D528">
        <v>1648.94</v>
      </c>
      <c r="E528" t="s">
        <v>650</v>
      </c>
      <c r="F528">
        <v>2988.78</v>
      </c>
      <c r="G528" t="s">
        <v>650</v>
      </c>
      <c r="H528">
        <v>4117.16</v>
      </c>
      <c r="I528" t="s">
        <v>650</v>
      </c>
    </row>
    <row r="529" spans="3:9" x14ac:dyDescent="0.3">
      <c r="C529">
        <v>505</v>
      </c>
      <c r="D529">
        <v>2012.17</v>
      </c>
      <c r="E529" t="s">
        <v>650</v>
      </c>
      <c r="F529">
        <v>3737.34</v>
      </c>
      <c r="G529" t="s">
        <v>650</v>
      </c>
      <c r="H529">
        <v>1920.6</v>
      </c>
      <c r="I529" t="s">
        <v>650</v>
      </c>
    </row>
    <row r="530" spans="3:9" x14ac:dyDescent="0.3">
      <c r="C530">
        <v>506</v>
      </c>
      <c r="D530">
        <v>3636.86</v>
      </c>
      <c r="E530" t="s">
        <v>650</v>
      </c>
      <c r="F530">
        <v>3326.04</v>
      </c>
      <c r="G530" t="s">
        <v>650</v>
      </c>
      <c r="H530">
        <v>1610.85</v>
      </c>
      <c r="I530" t="s">
        <v>650</v>
      </c>
    </row>
    <row r="531" spans="3:9" x14ac:dyDescent="0.3">
      <c r="C531">
        <v>507</v>
      </c>
      <c r="D531">
        <v>2736.24</v>
      </c>
      <c r="E531" t="s">
        <v>650</v>
      </c>
      <c r="F531">
        <v>3409.34</v>
      </c>
      <c r="G531" t="s">
        <v>650</v>
      </c>
      <c r="H531">
        <v>4370.83</v>
      </c>
      <c r="I531" t="s">
        <v>650</v>
      </c>
    </row>
    <row r="532" spans="3:9" x14ac:dyDescent="0.3">
      <c r="C532">
        <v>508</v>
      </c>
      <c r="D532">
        <v>3497.06</v>
      </c>
      <c r="E532" t="s">
        <v>650</v>
      </c>
      <c r="F532">
        <v>3512.15</v>
      </c>
      <c r="G532" t="s">
        <v>650</v>
      </c>
      <c r="H532">
        <v>2329.79</v>
      </c>
      <c r="I532" t="s">
        <v>650</v>
      </c>
    </row>
    <row r="533" spans="3:9" x14ac:dyDescent="0.3">
      <c r="C533">
        <v>509</v>
      </c>
      <c r="D533">
        <v>4539.07</v>
      </c>
      <c r="E533" t="s">
        <v>650</v>
      </c>
      <c r="F533">
        <v>3141.55</v>
      </c>
      <c r="G533" t="s">
        <v>650</v>
      </c>
      <c r="H533">
        <v>3287.08</v>
      </c>
      <c r="I533" t="s">
        <v>650</v>
      </c>
    </row>
    <row r="534" spans="3:9" x14ac:dyDescent="0.3">
      <c r="C534">
        <v>510</v>
      </c>
      <c r="D534">
        <v>1691.54</v>
      </c>
      <c r="E534" t="s">
        <v>650</v>
      </c>
      <c r="F534">
        <v>3656.79</v>
      </c>
      <c r="G534" t="s">
        <v>650</v>
      </c>
      <c r="H534">
        <v>2487</v>
      </c>
      <c r="I534" t="s">
        <v>650</v>
      </c>
    </row>
    <row r="535" spans="3:9" x14ac:dyDescent="0.3">
      <c r="C535">
        <v>511</v>
      </c>
      <c r="D535">
        <v>2850.16</v>
      </c>
      <c r="E535" t="s">
        <v>650</v>
      </c>
      <c r="F535">
        <v>2922.5</v>
      </c>
      <c r="G535" t="s">
        <v>650</v>
      </c>
      <c r="H535">
        <v>2680.72</v>
      </c>
      <c r="I535" t="s">
        <v>650</v>
      </c>
    </row>
    <row r="536" spans="3:9" x14ac:dyDescent="0.3">
      <c r="C536">
        <v>512</v>
      </c>
      <c r="D536">
        <v>3064.95</v>
      </c>
      <c r="E536" t="s">
        <v>650</v>
      </c>
      <c r="F536">
        <v>3554.07</v>
      </c>
      <c r="G536" t="s">
        <v>650</v>
      </c>
      <c r="H536">
        <v>3708.94</v>
      </c>
      <c r="I536" t="s">
        <v>650</v>
      </c>
    </row>
    <row r="537" spans="3:9" x14ac:dyDescent="0.3">
      <c r="C537">
        <v>513</v>
      </c>
      <c r="D537">
        <v>2394.81</v>
      </c>
      <c r="E537" t="s">
        <v>650</v>
      </c>
      <c r="F537">
        <v>1555.53</v>
      </c>
      <c r="G537" t="s">
        <v>650</v>
      </c>
      <c r="H537">
        <v>2338.2800000000002</v>
      </c>
      <c r="I537" t="s">
        <v>650</v>
      </c>
    </row>
    <row r="538" spans="3:9" x14ac:dyDescent="0.3">
      <c r="C538">
        <v>514</v>
      </c>
      <c r="D538">
        <v>3992.79</v>
      </c>
      <c r="E538" t="s">
        <v>650</v>
      </c>
      <c r="F538">
        <v>2266.79</v>
      </c>
      <c r="G538" t="s">
        <v>650</v>
      </c>
      <c r="H538">
        <v>3639.78</v>
      </c>
      <c r="I538" t="s">
        <v>650</v>
      </c>
    </row>
    <row r="539" spans="3:9" x14ac:dyDescent="0.3">
      <c r="C539">
        <v>515</v>
      </c>
      <c r="D539">
        <v>2575.79</v>
      </c>
      <c r="E539" t="s">
        <v>650</v>
      </c>
      <c r="F539">
        <v>2694.44</v>
      </c>
      <c r="G539" t="s">
        <v>650</v>
      </c>
      <c r="H539">
        <v>3707.5</v>
      </c>
      <c r="I539" t="s">
        <v>650</v>
      </c>
    </row>
    <row r="540" spans="3:9" x14ac:dyDescent="0.3">
      <c r="C540">
        <v>516</v>
      </c>
      <c r="D540">
        <v>2022.79</v>
      </c>
      <c r="E540" t="s">
        <v>650</v>
      </c>
      <c r="F540">
        <v>3231.1</v>
      </c>
      <c r="G540" t="s">
        <v>650</v>
      </c>
      <c r="H540">
        <v>3053.8</v>
      </c>
      <c r="I540" t="s">
        <v>650</v>
      </c>
    </row>
    <row r="541" spans="3:9" x14ac:dyDescent="0.3">
      <c r="C541">
        <v>517</v>
      </c>
      <c r="D541">
        <v>2751.66</v>
      </c>
      <c r="E541" t="s">
        <v>650</v>
      </c>
      <c r="F541">
        <v>2619.71</v>
      </c>
      <c r="G541" t="s">
        <v>650</v>
      </c>
      <c r="H541">
        <v>4033.5</v>
      </c>
      <c r="I541" t="s">
        <v>650</v>
      </c>
    </row>
    <row r="542" spans="3:9" x14ac:dyDescent="0.3">
      <c r="C542">
        <v>518</v>
      </c>
      <c r="D542">
        <v>2733.18</v>
      </c>
      <c r="E542" t="s">
        <v>650</v>
      </c>
      <c r="F542">
        <v>2106.06</v>
      </c>
      <c r="G542" t="s">
        <v>650</v>
      </c>
      <c r="H542">
        <v>2600.08</v>
      </c>
      <c r="I542" t="s">
        <v>650</v>
      </c>
    </row>
    <row r="543" spans="3:9" x14ac:dyDescent="0.3">
      <c r="C543">
        <v>519</v>
      </c>
      <c r="D543">
        <v>3006.6</v>
      </c>
      <c r="E543" t="s">
        <v>650</v>
      </c>
      <c r="F543">
        <v>3240.05</v>
      </c>
      <c r="G543" t="s">
        <v>650</v>
      </c>
      <c r="H543">
        <v>2050.5100000000002</v>
      </c>
      <c r="I543" t="s">
        <v>650</v>
      </c>
    </row>
    <row r="544" spans="3:9" x14ac:dyDescent="0.3">
      <c r="C544">
        <v>520</v>
      </c>
      <c r="D544">
        <v>3136.77</v>
      </c>
      <c r="E544" t="s">
        <v>650</v>
      </c>
      <c r="F544">
        <v>4418.43</v>
      </c>
      <c r="G544" t="s">
        <v>650</v>
      </c>
      <c r="H544">
        <v>3817.11</v>
      </c>
      <c r="I544" t="s">
        <v>650</v>
      </c>
    </row>
    <row r="545" spans="3:9" x14ac:dyDescent="0.3">
      <c r="C545">
        <v>521</v>
      </c>
      <c r="D545">
        <v>3227.85</v>
      </c>
      <c r="E545" t="s">
        <v>650</v>
      </c>
      <c r="F545">
        <v>2541.12</v>
      </c>
      <c r="G545" t="s">
        <v>650</v>
      </c>
      <c r="H545">
        <v>3526.5</v>
      </c>
      <c r="I545" t="s">
        <v>650</v>
      </c>
    </row>
    <row r="546" spans="3:9" x14ac:dyDescent="0.3">
      <c r="C546">
        <v>522</v>
      </c>
      <c r="D546">
        <v>3845.85</v>
      </c>
      <c r="E546" t="s">
        <v>650</v>
      </c>
      <c r="F546">
        <v>3264.73</v>
      </c>
      <c r="G546" t="s">
        <v>650</v>
      </c>
      <c r="H546">
        <v>6132.75</v>
      </c>
      <c r="I546" t="s">
        <v>650</v>
      </c>
    </row>
    <row r="547" spans="3:9" x14ac:dyDescent="0.3">
      <c r="C547">
        <v>523</v>
      </c>
      <c r="D547">
        <v>3466.03</v>
      </c>
      <c r="E547" t="s">
        <v>650</v>
      </c>
      <c r="F547">
        <v>4659.96</v>
      </c>
      <c r="G547" t="s">
        <v>650</v>
      </c>
      <c r="H547">
        <v>3414.07</v>
      </c>
      <c r="I547" t="s">
        <v>650</v>
      </c>
    </row>
    <row r="548" spans="3:9" x14ac:dyDescent="0.3">
      <c r="C548">
        <v>524</v>
      </c>
      <c r="D548">
        <v>1864.16</v>
      </c>
      <c r="E548" t="s">
        <v>650</v>
      </c>
      <c r="F548">
        <v>2534.42</v>
      </c>
      <c r="G548" t="s">
        <v>650</v>
      </c>
      <c r="H548">
        <v>4576.2299999999996</v>
      </c>
      <c r="I548" t="s">
        <v>650</v>
      </c>
    </row>
    <row r="549" spans="3:9" x14ac:dyDescent="0.3">
      <c r="C549">
        <v>525</v>
      </c>
      <c r="D549">
        <v>1719.19</v>
      </c>
      <c r="E549" t="s">
        <v>650</v>
      </c>
      <c r="F549">
        <v>3310.69</v>
      </c>
      <c r="G549" t="s">
        <v>650</v>
      </c>
      <c r="H549">
        <v>1660.59</v>
      </c>
      <c r="I549" t="s">
        <v>650</v>
      </c>
    </row>
    <row r="550" spans="3:9" x14ac:dyDescent="0.3">
      <c r="C550">
        <v>526</v>
      </c>
      <c r="D550">
        <v>3539.15</v>
      </c>
      <c r="E550" t="s">
        <v>650</v>
      </c>
      <c r="F550">
        <v>2095.46</v>
      </c>
      <c r="G550" t="s">
        <v>650</v>
      </c>
      <c r="H550">
        <v>3179.42</v>
      </c>
      <c r="I550" t="s">
        <v>650</v>
      </c>
    </row>
    <row r="551" spans="3:9" x14ac:dyDescent="0.3">
      <c r="C551">
        <v>527</v>
      </c>
      <c r="D551">
        <v>4660.58</v>
      </c>
      <c r="E551" t="s">
        <v>650</v>
      </c>
      <c r="F551">
        <v>4409.53</v>
      </c>
      <c r="G551" t="s">
        <v>650</v>
      </c>
      <c r="H551">
        <v>2889.59</v>
      </c>
      <c r="I551" t="s">
        <v>650</v>
      </c>
    </row>
    <row r="552" spans="3:9" x14ac:dyDescent="0.3">
      <c r="C552">
        <v>528</v>
      </c>
      <c r="D552">
        <v>3637.14</v>
      </c>
      <c r="E552" t="s">
        <v>650</v>
      </c>
      <c r="F552">
        <v>3183.41</v>
      </c>
      <c r="G552" t="s">
        <v>650</v>
      </c>
      <c r="H552">
        <v>2378.92</v>
      </c>
      <c r="I552" t="s">
        <v>650</v>
      </c>
    </row>
    <row r="553" spans="3:9" x14ac:dyDescent="0.3">
      <c r="C553">
        <v>529</v>
      </c>
      <c r="D553">
        <v>1851.63</v>
      </c>
      <c r="E553" t="s">
        <v>650</v>
      </c>
      <c r="F553">
        <v>1675.6</v>
      </c>
      <c r="G553" t="s">
        <v>650</v>
      </c>
      <c r="H553">
        <v>2793.63</v>
      </c>
      <c r="I553" t="s">
        <v>650</v>
      </c>
    </row>
    <row r="554" spans="3:9" x14ac:dyDescent="0.3">
      <c r="C554">
        <v>530</v>
      </c>
      <c r="D554">
        <v>3710.88</v>
      </c>
      <c r="E554" t="s">
        <v>650</v>
      </c>
      <c r="F554">
        <v>2298.17</v>
      </c>
      <c r="G554" t="s">
        <v>650</v>
      </c>
      <c r="H554">
        <v>4470.22</v>
      </c>
      <c r="I554" t="s">
        <v>650</v>
      </c>
    </row>
    <row r="555" spans="3:9" x14ac:dyDescent="0.3">
      <c r="C555">
        <v>531</v>
      </c>
      <c r="D555">
        <v>2982.1</v>
      </c>
      <c r="E555" t="s">
        <v>650</v>
      </c>
      <c r="F555">
        <v>2868.33</v>
      </c>
      <c r="G555" t="s">
        <v>650</v>
      </c>
      <c r="H555">
        <v>2339.9</v>
      </c>
      <c r="I555" t="s">
        <v>650</v>
      </c>
    </row>
    <row r="556" spans="3:9" x14ac:dyDescent="0.3">
      <c r="C556">
        <v>532</v>
      </c>
      <c r="D556">
        <v>2336.59</v>
      </c>
      <c r="E556" t="s">
        <v>650</v>
      </c>
      <c r="F556">
        <v>4037.28</v>
      </c>
      <c r="G556" t="s">
        <v>650</v>
      </c>
      <c r="H556">
        <v>4180.16</v>
      </c>
      <c r="I556" t="s">
        <v>650</v>
      </c>
    </row>
    <row r="557" spans="3:9" x14ac:dyDescent="0.3">
      <c r="C557">
        <v>533</v>
      </c>
      <c r="D557">
        <v>2873.02</v>
      </c>
      <c r="E557" t="s">
        <v>650</v>
      </c>
      <c r="F557">
        <v>2912.32</v>
      </c>
      <c r="G557" t="s">
        <v>650</v>
      </c>
      <c r="H557">
        <v>2444.23</v>
      </c>
      <c r="I557" t="s">
        <v>650</v>
      </c>
    </row>
    <row r="558" spans="3:9" x14ac:dyDescent="0.3">
      <c r="C558">
        <v>534</v>
      </c>
      <c r="D558">
        <v>3273.46</v>
      </c>
      <c r="E558" t="s">
        <v>650</v>
      </c>
      <c r="F558">
        <v>3231.34</v>
      </c>
      <c r="G558" t="s">
        <v>650</v>
      </c>
      <c r="H558">
        <v>5102.71</v>
      </c>
      <c r="I558" t="s">
        <v>650</v>
      </c>
    </row>
    <row r="559" spans="3:9" x14ac:dyDescent="0.3">
      <c r="C559">
        <v>535</v>
      </c>
      <c r="D559">
        <v>2907.15</v>
      </c>
      <c r="E559" t="s">
        <v>650</v>
      </c>
      <c r="F559">
        <v>4138.62</v>
      </c>
      <c r="G559" t="s">
        <v>650</v>
      </c>
      <c r="H559">
        <v>2667.44</v>
      </c>
      <c r="I559" t="s">
        <v>650</v>
      </c>
    </row>
    <row r="560" spans="3:9" x14ac:dyDescent="0.3">
      <c r="C560">
        <v>536</v>
      </c>
      <c r="D560">
        <v>2320.8200000000002</v>
      </c>
      <c r="E560" t="s">
        <v>650</v>
      </c>
      <c r="F560">
        <v>3104.44</v>
      </c>
      <c r="G560" t="s">
        <v>650</v>
      </c>
      <c r="H560">
        <v>3668.02</v>
      </c>
      <c r="I560" t="s">
        <v>650</v>
      </c>
    </row>
    <row r="561" spans="3:9" x14ac:dyDescent="0.3">
      <c r="C561">
        <v>537</v>
      </c>
      <c r="D561">
        <v>2982.3</v>
      </c>
      <c r="E561" t="s">
        <v>650</v>
      </c>
      <c r="F561">
        <v>2763.18</v>
      </c>
      <c r="G561" t="s">
        <v>650</v>
      </c>
      <c r="H561">
        <v>3780.3</v>
      </c>
      <c r="I561" t="s">
        <v>650</v>
      </c>
    </row>
    <row r="562" spans="3:9" x14ac:dyDescent="0.3">
      <c r="C562">
        <v>538</v>
      </c>
      <c r="D562">
        <v>2237.4299999999998</v>
      </c>
      <c r="E562" t="s">
        <v>650</v>
      </c>
      <c r="F562">
        <v>3059.77</v>
      </c>
      <c r="G562" t="s">
        <v>650</v>
      </c>
      <c r="H562">
        <v>3214.68</v>
      </c>
      <c r="I562" t="s">
        <v>650</v>
      </c>
    </row>
    <row r="563" spans="3:9" x14ac:dyDescent="0.3">
      <c r="C563">
        <v>539</v>
      </c>
      <c r="D563">
        <v>2710.43</v>
      </c>
      <c r="E563" t="s">
        <v>650</v>
      </c>
      <c r="F563">
        <v>2154.1999999999998</v>
      </c>
      <c r="G563" t="s">
        <v>650</v>
      </c>
      <c r="H563">
        <v>3835.83</v>
      </c>
      <c r="I563" t="s">
        <v>650</v>
      </c>
    </row>
    <row r="564" spans="3:9" x14ac:dyDescent="0.3">
      <c r="C564">
        <v>540</v>
      </c>
      <c r="D564">
        <v>2624.08</v>
      </c>
      <c r="E564" t="s">
        <v>650</v>
      </c>
      <c r="F564">
        <v>2741.59</v>
      </c>
      <c r="G564" t="s">
        <v>650</v>
      </c>
      <c r="H564">
        <v>4027.08</v>
      </c>
      <c r="I564" t="s">
        <v>650</v>
      </c>
    </row>
    <row r="565" spans="3:9" x14ac:dyDescent="0.3">
      <c r="C565">
        <v>541</v>
      </c>
      <c r="D565">
        <v>3033.13</v>
      </c>
      <c r="E565" t="s">
        <v>650</v>
      </c>
      <c r="F565">
        <v>2747.5</v>
      </c>
      <c r="G565" t="s">
        <v>650</v>
      </c>
      <c r="H565">
        <v>2109.02</v>
      </c>
      <c r="I565" t="s">
        <v>650</v>
      </c>
    </row>
    <row r="566" spans="3:9" x14ac:dyDescent="0.3">
      <c r="C566">
        <v>542</v>
      </c>
      <c r="D566">
        <v>2050.59</v>
      </c>
      <c r="E566" t="s">
        <v>650</v>
      </c>
      <c r="F566">
        <v>3436.84</v>
      </c>
      <c r="G566" t="s">
        <v>650</v>
      </c>
      <c r="H566">
        <v>3816.55</v>
      </c>
      <c r="I566" t="s">
        <v>650</v>
      </c>
    </row>
    <row r="567" spans="3:9" x14ac:dyDescent="0.3">
      <c r="C567">
        <v>543</v>
      </c>
      <c r="D567">
        <v>1899.87</v>
      </c>
      <c r="E567" t="s">
        <v>650</v>
      </c>
      <c r="F567">
        <v>2331.5</v>
      </c>
      <c r="G567" t="s">
        <v>650</v>
      </c>
      <c r="H567">
        <v>2564.29</v>
      </c>
      <c r="I567" t="s">
        <v>650</v>
      </c>
    </row>
    <row r="568" spans="3:9" x14ac:dyDescent="0.3">
      <c r="C568">
        <v>544</v>
      </c>
      <c r="D568">
        <v>2981.82</v>
      </c>
      <c r="E568" t="s">
        <v>650</v>
      </c>
      <c r="F568">
        <v>2808.68</v>
      </c>
      <c r="G568" t="s">
        <v>650</v>
      </c>
      <c r="H568">
        <v>2858.51</v>
      </c>
      <c r="I568" t="s">
        <v>650</v>
      </c>
    </row>
    <row r="569" spans="3:9" x14ac:dyDescent="0.3">
      <c r="C569">
        <v>545</v>
      </c>
      <c r="D569">
        <v>1693.97</v>
      </c>
      <c r="E569" t="s">
        <v>650</v>
      </c>
      <c r="F569">
        <v>4014.8</v>
      </c>
      <c r="G569" t="s">
        <v>650</v>
      </c>
      <c r="H569">
        <v>3624.06</v>
      </c>
      <c r="I569" t="s">
        <v>650</v>
      </c>
    </row>
    <row r="570" spans="3:9" x14ac:dyDescent="0.3">
      <c r="C570">
        <v>546</v>
      </c>
      <c r="D570">
        <v>2815.09</v>
      </c>
      <c r="E570" t="s">
        <v>650</v>
      </c>
      <c r="F570">
        <v>3178.95</v>
      </c>
      <c r="G570" t="s">
        <v>650</v>
      </c>
      <c r="H570">
        <v>3775.32</v>
      </c>
      <c r="I570" t="s">
        <v>650</v>
      </c>
    </row>
    <row r="571" spans="3:9" x14ac:dyDescent="0.3">
      <c r="C571">
        <v>547</v>
      </c>
      <c r="D571">
        <v>4032.64</v>
      </c>
      <c r="E571" t="s">
        <v>650</v>
      </c>
      <c r="F571">
        <v>4296.18</v>
      </c>
      <c r="G571" t="s">
        <v>650</v>
      </c>
      <c r="H571">
        <v>3516.8</v>
      </c>
      <c r="I571" t="s">
        <v>650</v>
      </c>
    </row>
    <row r="572" spans="3:9" x14ac:dyDescent="0.3">
      <c r="C572">
        <v>548</v>
      </c>
      <c r="D572">
        <v>2954.01</v>
      </c>
      <c r="E572" t="s">
        <v>650</v>
      </c>
      <c r="F572">
        <v>2776.06</v>
      </c>
      <c r="G572" t="s">
        <v>650</v>
      </c>
      <c r="H572">
        <v>3633.87</v>
      </c>
      <c r="I572" t="s">
        <v>650</v>
      </c>
    </row>
    <row r="573" spans="3:9" x14ac:dyDescent="0.3">
      <c r="C573">
        <v>549</v>
      </c>
      <c r="D573">
        <v>2282.85</v>
      </c>
      <c r="E573" t="s">
        <v>650</v>
      </c>
      <c r="F573">
        <v>2781.64</v>
      </c>
      <c r="G573" t="s">
        <v>650</v>
      </c>
      <c r="H573">
        <v>3721.91</v>
      </c>
      <c r="I573" t="s">
        <v>650</v>
      </c>
    </row>
    <row r="574" spans="3:9" x14ac:dyDescent="0.3">
      <c r="C574">
        <v>550</v>
      </c>
      <c r="D574">
        <v>3916</v>
      </c>
      <c r="E574" t="s">
        <v>650</v>
      </c>
      <c r="F574">
        <v>1975.92</v>
      </c>
      <c r="G574" t="s">
        <v>650</v>
      </c>
      <c r="H574">
        <v>3348.62</v>
      </c>
      <c r="I574" t="s">
        <v>650</v>
      </c>
    </row>
    <row r="575" spans="3:9" x14ac:dyDescent="0.3">
      <c r="C575">
        <v>551</v>
      </c>
      <c r="D575">
        <v>3117.72</v>
      </c>
      <c r="E575" t="s">
        <v>650</v>
      </c>
      <c r="F575">
        <v>3624.81</v>
      </c>
      <c r="G575" t="s">
        <v>650</v>
      </c>
      <c r="H575">
        <v>4439.8100000000004</v>
      </c>
      <c r="I575" t="s">
        <v>650</v>
      </c>
    </row>
    <row r="576" spans="3:9" x14ac:dyDescent="0.3">
      <c r="C576">
        <v>552</v>
      </c>
      <c r="D576">
        <v>3412.71</v>
      </c>
      <c r="E576" t="s">
        <v>650</v>
      </c>
      <c r="F576">
        <v>3629.48</v>
      </c>
      <c r="G576" t="s">
        <v>650</v>
      </c>
      <c r="H576">
        <v>3997.51</v>
      </c>
      <c r="I576" t="s">
        <v>650</v>
      </c>
    </row>
    <row r="577" spans="3:9" x14ac:dyDescent="0.3">
      <c r="C577">
        <v>553</v>
      </c>
      <c r="D577">
        <v>2836.75</v>
      </c>
      <c r="E577" t="s">
        <v>650</v>
      </c>
      <c r="F577">
        <v>3158.51</v>
      </c>
      <c r="G577" t="s">
        <v>650</v>
      </c>
      <c r="H577">
        <v>4054.34</v>
      </c>
      <c r="I577" t="s">
        <v>650</v>
      </c>
    </row>
    <row r="578" spans="3:9" x14ac:dyDescent="0.3">
      <c r="C578">
        <v>554</v>
      </c>
      <c r="D578">
        <v>3223.26</v>
      </c>
      <c r="E578" t="s">
        <v>650</v>
      </c>
      <c r="F578">
        <v>1914.41</v>
      </c>
      <c r="G578" t="s">
        <v>650</v>
      </c>
      <c r="H578">
        <v>2782.33</v>
      </c>
      <c r="I578" t="s">
        <v>650</v>
      </c>
    </row>
    <row r="579" spans="3:9" x14ac:dyDescent="0.3">
      <c r="C579">
        <v>555</v>
      </c>
      <c r="D579">
        <v>2690.64</v>
      </c>
      <c r="E579" t="s">
        <v>650</v>
      </c>
      <c r="F579">
        <v>3090.79</v>
      </c>
      <c r="G579" t="s">
        <v>650</v>
      </c>
      <c r="H579">
        <v>3479.5</v>
      </c>
      <c r="I579" t="s">
        <v>650</v>
      </c>
    </row>
    <row r="580" spans="3:9" x14ac:dyDescent="0.3">
      <c r="C580">
        <v>556</v>
      </c>
      <c r="D580">
        <v>3299.46</v>
      </c>
      <c r="E580" t="s">
        <v>650</v>
      </c>
      <c r="F580">
        <v>3827.71</v>
      </c>
      <c r="G580" t="s">
        <v>650</v>
      </c>
      <c r="H580">
        <v>3583.44</v>
      </c>
      <c r="I580" t="s">
        <v>650</v>
      </c>
    </row>
    <row r="581" spans="3:9" x14ac:dyDescent="0.3">
      <c r="C581">
        <v>557</v>
      </c>
      <c r="D581">
        <v>3071.17</v>
      </c>
      <c r="E581" t="s">
        <v>650</v>
      </c>
      <c r="F581">
        <v>3076.31</v>
      </c>
      <c r="G581" t="s">
        <v>650</v>
      </c>
      <c r="H581">
        <v>5034.37</v>
      </c>
      <c r="I581" t="s">
        <v>650</v>
      </c>
    </row>
    <row r="582" spans="3:9" x14ac:dyDescent="0.3">
      <c r="C582">
        <v>558</v>
      </c>
      <c r="D582">
        <v>3870.48</v>
      </c>
      <c r="E582" t="s">
        <v>650</v>
      </c>
      <c r="F582">
        <v>2613.71</v>
      </c>
      <c r="G582" t="s">
        <v>650</v>
      </c>
      <c r="H582">
        <v>3327.75</v>
      </c>
      <c r="I582" t="s">
        <v>650</v>
      </c>
    </row>
    <row r="583" spans="3:9" x14ac:dyDescent="0.3">
      <c r="C583">
        <v>559</v>
      </c>
      <c r="D583">
        <v>3097.14</v>
      </c>
      <c r="E583" t="s">
        <v>650</v>
      </c>
      <c r="F583">
        <v>3060.4</v>
      </c>
      <c r="G583" t="s">
        <v>650</v>
      </c>
      <c r="H583">
        <v>2847.61</v>
      </c>
      <c r="I583" t="s">
        <v>650</v>
      </c>
    </row>
    <row r="584" spans="3:9" x14ac:dyDescent="0.3">
      <c r="C584">
        <v>560</v>
      </c>
      <c r="D584">
        <v>3012.51</v>
      </c>
      <c r="E584" t="s">
        <v>650</v>
      </c>
      <c r="F584">
        <v>2649.04</v>
      </c>
      <c r="G584" t="s">
        <v>650</v>
      </c>
      <c r="H584">
        <v>4230.32</v>
      </c>
      <c r="I584" t="s">
        <v>650</v>
      </c>
    </row>
    <row r="585" spans="3:9" x14ac:dyDescent="0.3">
      <c r="C585">
        <v>561</v>
      </c>
      <c r="D585">
        <v>3315.16</v>
      </c>
      <c r="E585" t="s">
        <v>650</v>
      </c>
      <c r="F585">
        <v>1762.17</v>
      </c>
      <c r="G585" t="s">
        <v>650</v>
      </c>
      <c r="H585">
        <v>3293.39</v>
      </c>
      <c r="I585" t="s">
        <v>650</v>
      </c>
    </row>
    <row r="586" spans="3:9" x14ac:dyDescent="0.3">
      <c r="C586">
        <v>562</v>
      </c>
      <c r="D586">
        <v>3508.84</v>
      </c>
      <c r="E586" t="s">
        <v>650</v>
      </c>
      <c r="F586">
        <v>2131.21</v>
      </c>
      <c r="G586" t="s">
        <v>650</v>
      </c>
      <c r="H586">
        <v>4146.5</v>
      </c>
      <c r="I586" t="s">
        <v>650</v>
      </c>
    </row>
    <row r="587" spans="3:9" x14ac:dyDescent="0.3">
      <c r="C587">
        <v>563</v>
      </c>
      <c r="D587">
        <v>3486.92</v>
      </c>
      <c r="E587" t="s">
        <v>650</v>
      </c>
      <c r="F587">
        <v>3177.87</v>
      </c>
      <c r="G587" t="s">
        <v>650</v>
      </c>
      <c r="H587">
        <v>3060.8</v>
      </c>
      <c r="I587" t="s">
        <v>650</v>
      </c>
    </row>
    <row r="588" spans="3:9" x14ac:dyDescent="0.3">
      <c r="C588">
        <v>564</v>
      </c>
      <c r="D588">
        <v>3265.77</v>
      </c>
      <c r="E588" t="s">
        <v>650</v>
      </c>
      <c r="F588">
        <v>2609.7199999999998</v>
      </c>
      <c r="G588" t="s">
        <v>650</v>
      </c>
      <c r="H588">
        <v>4417.3</v>
      </c>
      <c r="I588" t="s">
        <v>650</v>
      </c>
    </row>
    <row r="589" spans="3:9" x14ac:dyDescent="0.3">
      <c r="C589">
        <v>565</v>
      </c>
      <c r="D589">
        <v>1674.29</v>
      </c>
      <c r="E589" t="s">
        <v>650</v>
      </c>
      <c r="F589">
        <v>3974.33</v>
      </c>
      <c r="G589" t="s">
        <v>650</v>
      </c>
      <c r="H589">
        <v>2080.71</v>
      </c>
      <c r="I589" t="s">
        <v>650</v>
      </c>
    </row>
    <row r="590" spans="3:9" x14ac:dyDescent="0.3">
      <c r="C590">
        <v>566</v>
      </c>
      <c r="D590">
        <v>3897.68</v>
      </c>
      <c r="E590" t="s">
        <v>650</v>
      </c>
      <c r="F590">
        <v>2233.1799999999998</v>
      </c>
      <c r="G590" t="s">
        <v>650</v>
      </c>
      <c r="H590">
        <v>2771.54</v>
      </c>
      <c r="I590" t="s">
        <v>650</v>
      </c>
    </row>
    <row r="591" spans="3:9" x14ac:dyDescent="0.3">
      <c r="C591">
        <v>567</v>
      </c>
      <c r="D591">
        <v>2238.15</v>
      </c>
      <c r="E591" t="s">
        <v>650</v>
      </c>
      <c r="F591">
        <v>2507.5500000000002</v>
      </c>
      <c r="G591" t="s">
        <v>650</v>
      </c>
      <c r="H591">
        <v>4202.8500000000004</v>
      </c>
      <c r="I591" t="s">
        <v>650</v>
      </c>
    </row>
    <row r="592" spans="3:9" x14ac:dyDescent="0.3">
      <c r="C592">
        <v>568</v>
      </c>
      <c r="D592">
        <v>2059.7600000000002</v>
      </c>
      <c r="E592" t="s">
        <v>650</v>
      </c>
      <c r="F592">
        <v>3898</v>
      </c>
      <c r="G592" t="s">
        <v>650</v>
      </c>
      <c r="H592">
        <v>3536.95</v>
      </c>
      <c r="I592" t="s">
        <v>650</v>
      </c>
    </row>
    <row r="593" spans="3:9" x14ac:dyDescent="0.3">
      <c r="C593">
        <v>569</v>
      </c>
      <c r="D593">
        <v>2262.7600000000002</v>
      </c>
      <c r="E593" t="s">
        <v>650</v>
      </c>
      <c r="F593">
        <v>3251.1</v>
      </c>
      <c r="G593" t="s">
        <v>650</v>
      </c>
      <c r="H593">
        <v>3687.83</v>
      </c>
      <c r="I593" t="s">
        <v>650</v>
      </c>
    </row>
    <row r="594" spans="3:9" x14ac:dyDescent="0.3">
      <c r="C594">
        <v>570</v>
      </c>
      <c r="D594">
        <v>3142.06</v>
      </c>
      <c r="E594" t="s">
        <v>650</v>
      </c>
      <c r="F594">
        <v>3712.67</v>
      </c>
      <c r="G594" t="s">
        <v>650</v>
      </c>
      <c r="H594">
        <v>2497.9499999999998</v>
      </c>
      <c r="I594" t="s">
        <v>650</v>
      </c>
    </row>
    <row r="595" spans="3:9" x14ac:dyDescent="0.3">
      <c r="C595">
        <v>571</v>
      </c>
      <c r="D595">
        <v>3108.37</v>
      </c>
      <c r="E595" t="s">
        <v>650</v>
      </c>
      <c r="F595">
        <v>2791.66</v>
      </c>
      <c r="G595" t="s">
        <v>650</v>
      </c>
      <c r="H595">
        <v>2863.39</v>
      </c>
      <c r="I595" t="s">
        <v>650</v>
      </c>
    </row>
    <row r="596" spans="3:9" x14ac:dyDescent="0.3">
      <c r="C596">
        <v>572</v>
      </c>
      <c r="D596">
        <v>1685.61</v>
      </c>
      <c r="E596" t="s">
        <v>650</v>
      </c>
      <c r="F596">
        <v>2343.4</v>
      </c>
      <c r="G596" t="s">
        <v>650</v>
      </c>
      <c r="H596">
        <v>3143.8</v>
      </c>
      <c r="I596" t="s">
        <v>650</v>
      </c>
    </row>
    <row r="597" spans="3:9" x14ac:dyDescent="0.3">
      <c r="C597">
        <v>573</v>
      </c>
      <c r="D597">
        <v>2413.21</v>
      </c>
      <c r="E597" t="s">
        <v>650</v>
      </c>
      <c r="F597">
        <v>2987.57</v>
      </c>
      <c r="G597" t="s">
        <v>650</v>
      </c>
      <c r="H597">
        <v>3885.12</v>
      </c>
      <c r="I597" t="s">
        <v>650</v>
      </c>
    </row>
    <row r="598" spans="3:9" x14ac:dyDescent="0.3">
      <c r="C598">
        <v>574</v>
      </c>
      <c r="D598">
        <v>2262.02</v>
      </c>
      <c r="E598" t="s">
        <v>650</v>
      </c>
      <c r="F598">
        <v>1913.68</v>
      </c>
      <c r="G598" t="s">
        <v>650</v>
      </c>
      <c r="H598">
        <v>2258.73</v>
      </c>
      <c r="I598" t="s">
        <v>650</v>
      </c>
    </row>
    <row r="599" spans="3:9" x14ac:dyDescent="0.3">
      <c r="C599">
        <v>575</v>
      </c>
      <c r="D599">
        <v>2926.52</v>
      </c>
      <c r="E599" t="s">
        <v>650</v>
      </c>
      <c r="F599">
        <v>4000.47</v>
      </c>
      <c r="G599" t="s">
        <v>650</v>
      </c>
      <c r="H599">
        <v>3263.62</v>
      </c>
      <c r="I599" t="s">
        <v>650</v>
      </c>
    </row>
    <row r="600" spans="3:9" x14ac:dyDescent="0.3">
      <c r="C600">
        <v>576</v>
      </c>
      <c r="D600">
        <v>3725.37</v>
      </c>
      <c r="E600" t="s">
        <v>650</v>
      </c>
      <c r="F600">
        <v>2683.01</v>
      </c>
      <c r="G600" t="s">
        <v>650</v>
      </c>
      <c r="H600">
        <v>3889.97</v>
      </c>
      <c r="I600" t="s">
        <v>650</v>
      </c>
    </row>
    <row r="601" spans="3:9" x14ac:dyDescent="0.3">
      <c r="C601">
        <v>577</v>
      </c>
      <c r="D601">
        <v>2582.81</v>
      </c>
      <c r="E601" t="s">
        <v>650</v>
      </c>
      <c r="F601">
        <v>2706.03</v>
      </c>
      <c r="G601" t="s">
        <v>650</v>
      </c>
      <c r="H601">
        <v>4347.21</v>
      </c>
      <c r="I601" t="s">
        <v>650</v>
      </c>
    </row>
    <row r="602" spans="3:9" x14ac:dyDescent="0.3">
      <c r="C602">
        <v>578</v>
      </c>
      <c r="D602">
        <v>3449.7</v>
      </c>
      <c r="E602" t="s">
        <v>650</v>
      </c>
      <c r="F602">
        <v>3981.06</v>
      </c>
      <c r="G602" t="s">
        <v>650</v>
      </c>
      <c r="H602">
        <v>4513.84</v>
      </c>
      <c r="I602" t="s">
        <v>650</v>
      </c>
    </row>
    <row r="603" spans="3:9" x14ac:dyDescent="0.3">
      <c r="C603">
        <v>579</v>
      </c>
      <c r="D603">
        <v>3045.18</v>
      </c>
      <c r="E603" t="s">
        <v>650</v>
      </c>
      <c r="F603">
        <v>2263.16</v>
      </c>
      <c r="G603" t="s">
        <v>650</v>
      </c>
      <c r="H603">
        <v>2879.8</v>
      </c>
      <c r="I603" t="s">
        <v>650</v>
      </c>
    </row>
    <row r="604" spans="3:9" x14ac:dyDescent="0.3">
      <c r="C604">
        <v>580</v>
      </c>
      <c r="D604">
        <v>2437.7399999999998</v>
      </c>
      <c r="E604" t="s">
        <v>650</v>
      </c>
      <c r="F604">
        <v>3442.27</v>
      </c>
      <c r="G604" t="s">
        <v>650</v>
      </c>
      <c r="H604">
        <v>4199.42</v>
      </c>
      <c r="I604" t="s">
        <v>650</v>
      </c>
    </row>
    <row r="605" spans="3:9" x14ac:dyDescent="0.3">
      <c r="C605">
        <v>581</v>
      </c>
      <c r="D605">
        <v>2763.16</v>
      </c>
      <c r="E605" t="s">
        <v>650</v>
      </c>
      <c r="F605">
        <v>2589.66</v>
      </c>
      <c r="G605" t="s">
        <v>650</v>
      </c>
      <c r="H605">
        <v>3938.9</v>
      </c>
      <c r="I605" t="s">
        <v>650</v>
      </c>
    </row>
    <row r="606" spans="3:9" x14ac:dyDescent="0.3">
      <c r="C606">
        <v>582</v>
      </c>
      <c r="D606">
        <v>931.44</v>
      </c>
      <c r="E606" t="s">
        <v>650</v>
      </c>
      <c r="F606">
        <v>3898.93</v>
      </c>
      <c r="G606" t="s">
        <v>650</v>
      </c>
      <c r="H606">
        <v>3666.52</v>
      </c>
      <c r="I606" t="s">
        <v>650</v>
      </c>
    </row>
    <row r="607" spans="3:9" x14ac:dyDescent="0.3">
      <c r="C607">
        <v>583</v>
      </c>
      <c r="D607">
        <v>2340.5</v>
      </c>
      <c r="E607" t="s">
        <v>650</v>
      </c>
      <c r="F607">
        <v>3259.9</v>
      </c>
      <c r="G607" t="s">
        <v>650</v>
      </c>
      <c r="H607">
        <v>2757.27</v>
      </c>
      <c r="I607" t="s">
        <v>650</v>
      </c>
    </row>
    <row r="608" spans="3:9" x14ac:dyDescent="0.3">
      <c r="C608">
        <v>584</v>
      </c>
      <c r="D608">
        <v>3446.18</v>
      </c>
      <c r="E608" t="s">
        <v>650</v>
      </c>
      <c r="F608">
        <v>1250.56</v>
      </c>
      <c r="G608" t="s">
        <v>650</v>
      </c>
      <c r="H608">
        <v>3380.23</v>
      </c>
      <c r="I608" t="s">
        <v>650</v>
      </c>
    </row>
    <row r="609" spans="3:9" x14ac:dyDescent="0.3">
      <c r="C609">
        <v>585</v>
      </c>
      <c r="D609">
        <v>1835.94</v>
      </c>
      <c r="E609" t="s">
        <v>650</v>
      </c>
      <c r="F609">
        <v>1461.98</v>
      </c>
      <c r="G609" t="s">
        <v>650</v>
      </c>
      <c r="H609">
        <v>1944.34</v>
      </c>
      <c r="I609" t="s">
        <v>650</v>
      </c>
    </row>
    <row r="610" spans="3:9" x14ac:dyDescent="0.3">
      <c r="C610">
        <v>586</v>
      </c>
      <c r="D610">
        <v>3283.51</v>
      </c>
      <c r="E610" t="s">
        <v>650</v>
      </c>
      <c r="F610">
        <v>3042.82</v>
      </c>
      <c r="G610" t="s">
        <v>650</v>
      </c>
      <c r="H610">
        <v>4107.21</v>
      </c>
      <c r="I610" t="s">
        <v>650</v>
      </c>
    </row>
    <row r="611" spans="3:9" x14ac:dyDescent="0.3">
      <c r="C611">
        <v>587</v>
      </c>
      <c r="D611">
        <v>2344.7800000000002</v>
      </c>
      <c r="E611" t="s">
        <v>650</v>
      </c>
      <c r="F611">
        <v>4317.3100000000004</v>
      </c>
      <c r="G611" t="s">
        <v>650</v>
      </c>
      <c r="H611">
        <v>4324.71</v>
      </c>
      <c r="I611" t="s">
        <v>650</v>
      </c>
    </row>
    <row r="612" spans="3:9" x14ac:dyDescent="0.3">
      <c r="C612">
        <v>588</v>
      </c>
      <c r="D612">
        <v>2296.2600000000002</v>
      </c>
      <c r="E612" t="s">
        <v>650</v>
      </c>
      <c r="F612">
        <v>2240.86</v>
      </c>
      <c r="G612" t="s">
        <v>650</v>
      </c>
      <c r="H612">
        <v>1611.09</v>
      </c>
      <c r="I612" t="s">
        <v>650</v>
      </c>
    </row>
    <row r="613" spans="3:9" x14ac:dyDescent="0.3">
      <c r="C613">
        <v>589</v>
      </c>
      <c r="D613">
        <v>2694.73</v>
      </c>
      <c r="E613" t="s">
        <v>650</v>
      </c>
      <c r="F613">
        <v>4206.87</v>
      </c>
      <c r="G613" t="s">
        <v>650</v>
      </c>
      <c r="H613">
        <v>3595.67</v>
      </c>
      <c r="I613" t="s">
        <v>650</v>
      </c>
    </row>
    <row r="614" spans="3:9" x14ac:dyDescent="0.3">
      <c r="C614">
        <v>590</v>
      </c>
      <c r="D614">
        <v>4279.75</v>
      </c>
      <c r="E614" t="s">
        <v>650</v>
      </c>
      <c r="F614">
        <v>3497.07</v>
      </c>
      <c r="G614" t="s">
        <v>650</v>
      </c>
      <c r="H614">
        <v>1618.1</v>
      </c>
      <c r="I614" t="s">
        <v>650</v>
      </c>
    </row>
    <row r="615" spans="3:9" x14ac:dyDescent="0.3">
      <c r="C615">
        <v>591</v>
      </c>
      <c r="D615">
        <v>3546.91</v>
      </c>
      <c r="E615" t="s">
        <v>650</v>
      </c>
      <c r="F615">
        <v>1413.27</v>
      </c>
      <c r="G615" t="s">
        <v>650</v>
      </c>
      <c r="H615">
        <v>2614.15</v>
      </c>
      <c r="I615" t="s">
        <v>650</v>
      </c>
    </row>
    <row r="616" spans="3:9" x14ac:dyDescent="0.3">
      <c r="C616">
        <v>592</v>
      </c>
      <c r="D616">
        <v>3583.01</v>
      </c>
      <c r="E616" t="s">
        <v>650</v>
      </c>
      <c r="F616">
        <v>1937.56</v>
      </c>
      <c r="G616" t="s">
        <v>650</v>
      </c>
      <c r="H616">
        <v>3727.19</v>
      </c>
      <c r="I616" t="s">
        <v>650</v>
      </c>
    </row>
    <row r="617" spans="3:9" x14ac:dyDescent="0.3">
      <c r="C617">
        <v>593</v>
      </c>
      <c r="D617">
        <v>3822.04</v>
      </c>
      <c r="E617" t="s">
        <v>650</v>
      </c>
      <c r="F617">
        <v>3614.72</v>
      </c>
      <c r="G617" t="s">
        <v>650</v>
      </c>
      <c r="H617">
        <v>1116.8</v>
      </c>
      <c r="I617" t="s">
        <v>650</v>
      </c>
    </row>
    <row r="618" spans="3:9" x14ac:dyDescent="0.3">
      <c r="C618">
        <v>594</v>
      </c>
      <c r="D618">
        <v>3119.22</v>
      </c>
      <c r="E618" t="s">
        <v>650</v>
      </c>
      <c r="F618">
        <v>1981.57</v>
      </c>
      <c r="G618" t="s">
        <v>650</v>
      </c>
      <c r="H618">
        <v>3394.67</v>
      </c>
      <c r="I618" t="s">
        <v>650</v>
      </c>
    </row>
    <row r="619" spans="3:9" x14ac:dyDescent="0.3">
      <c r="C619">
        <v>595</v>
      </c>
      <c r="D619">
        <v>1883.2</v>
      </c>
      <c r="E619" t="s">
        <v>650</v>
      </c>
      <c r="F619">
        <v>2797.81</v>
      </c>
      <c r="G619" t="s">
        <v>650</v>
      </c>
      <c r="H619">
        <v>3853.77</v>
      </c>
      <c r="I619" t="s">
        <v>650</v>
      </c>
    </row>
    <row r="620" spans="3:9" x14ac:dyDescent="0.3">
      <c r="C620">
        <v>596</v>
      </c>
      <c r="D620">
        <v>3085.21</v>
      </c>
      <c r="E620" t="s">
        <v>650</v>
      </c>
      <c r="F620">
        <v>3794.37</v>
      </c>
      <c r="G620" t="s">
        <v>650</v>
      </c>
      <c r="H620">
        <v>5275.91</v>
      </c>
      <c r="I620" t="s">
        <v>650</v>
      </c>
    </row>
    <row r="621" spans="3:9" x14ac:dyDescent="0.3">
      <c r="C621">
        <v>597</v>
      </c>
      <c r="D621">
        <v>3415.17</v>
      </c>
      <c r="E621" t="s">
        <v>650</v>
      </c>
      <c r="F621">
        <v>3394.91</v>
      </c>
      <c r="G621" t="s">
        <v>650</v>
      </c>
      <c r="H621">
        <v>2818.86</v>
      </c>
      <c r="I621" t="s">
        <v>650</v>
      </c>
    </row>
    <row r="622" spans="3:9" x14ac:dyDescent="0.3">
      <c r="C622">
        <v>598</v>
      </c>
      <c r="D622">
        <v>2486.33</v>
      </c>
      <c r="E622" t="s">
        <v>650</v>
      </c>
      <c r="F622">
        <v>3246.12</v>
      </c>
      <c r="G622" t="s">
        <v>650</v>
      </c>
      <c r="H622">
        <v>4797.3</v>
      </c>
      <c r="I622" t="s">
        <v>650</v>
      </c>
    </row>
    <row r="623" spans="3:9" x14ac:dyDescent="0.3">
      <c r="C623">
        <v>599</v>
      </c>
      <c r="D623">
        <v>2013.02</v>
      </c>
      <c r="E623" t="s">
        <v>650</v>
      </c>
      <c r="F623">
        <v>2559.61</v>
      </c>
      <c r="G623" t="s">
        <v>650</v>
      </c>
      <c r="H623">
        <v>2760.54</v>
      </c>
      <c r="I623" t="s">
        <v>650</v>
      </c>
    </row>
    <row r="624" spans="3:9" x14ac:dyDescent="0.3">
      <c r="C624">
        <v>600</v>
      </c>
      <c r="D624">
        <v>3058.92</v>
      </c>
      <c r="E624" t="s">
        <v>650</v>
      </c>
      <c r="F624">
        <v>3042.73</v>
      </c>
      <c r="G624" t="s">
        <v>650</v>
      </c>
      <c r="H624">
        <v>3337.38</v>
      </c>
      <c r="I624" t="s">
        <v>650</v>
      </c>
    </row>
    <row r="625" spans="3:9" x14ac:dyDescent="0.3">
      <c r="C625">
        <v>601</v>
      </c>
      <c r="D625">
        <v>1880.12</v>
      </c>
      <c r="E625" t="s">
        <v>650</v>
      </c>
      <c r="F625">
        <v>3173.93</v>
      </c>
      <c r="G625" t="s">
        <v>650</v>
      </c>
      <c r="H625">
        <v>4309.33</v>
      </c>
      <c r="I625" t="s">
        <v>650</v>
      </c>
    </row>
    <row r="626" spans="3:9" x14ac:dyDescent="0.3">
      <c r="C626">
        <v>602</v>
      </c>
      <c r="D626">
        <v>3012.43</v>
      </c>
      <c r="E626" t="s">
        <v>650</v>
      </c>
      <c r="F626">
        <v>2757.53</v>
      </c>
      <c r="G626" t="s">
        <v>650</v>
      </c>
      <c r="H626">
        <v>2854.96</v>
      </c>
      <c r="I626" t="s">
        <v>650</v>
      </c>
    </row>
    <row r="627" spans="3:9" x14ac:dyDescent="0.3">
      <c r="C627">
        <v>603</v>
      </c>
      <c r="D627">
        <v>2844.29</v>
      </c>
      <c r="E627" t="s">
        <v>650</v>
      </c>
      <c r="F627">
        <v>2718.07</v>
      </c>
      <c r="G627" t="s">
        <v>650</v>
      </c>
      <c r="H627">
        <v>3446.57</v>
      </c>
      <c r="I627" t="s">
        <v>650</v>
      </c>
    </row>
    <row r="628" spans="3:9" x14ac:dyDescent="0.3">
      <c r="C628">
        <v>604</v>
      </c>
      <c r="D628">
        <v>3898.68</v>
      </c>
      <c r="E628" t="s">
        <v>650</v>
      </c>
      <c r="F628">
        <v>3162.16</v>
      </c>
      <c r="G628" t="s">
        <v>650</v>
      </c>
      <c r="H628">
        <v>3275.14</v>
      </c>
      <c r="I628" t="s">
        <v>650</v>
      </c>
    </row>
    <row r="629" spans="3:9" x14ac:dyDescent="0.3">
      <c r="C629">
        <v>605</v>
      </c>
      <c r="D629">
        <v>3672.89</v>
      </c>
      <c r="E629" t="s">
        <v>650</v>
      </c>
      <c r="F629">
        <v>2249.52</v>
      </c>
      <c r="G629" t="s">
        <v>650</v>
      </c>
      <c r="H629">
        <v>3957.26</v>
      </c>
      <c r="I629" t="s">
        <v>650</v>
      </c>
    </row>
    <row r="630" spans="3:9" x14ac:dyDescent="0.3">
      <c r="C630">
        <v>606</v>
      </c>
      <c r="D630">
        <v>2704.16</v>
      </c>
      <c r="E630" t="s">
        <v>650</v>
      </c>
      <c r="F630">
        <v>2939.54</v>
      </c>
      <c r="G630" t="s">
        <v>650</v>
      </c>
      <c r="H630">
        <v>2870.89</v>
      </c>
      <c r="I630" t="s">
        <v>650</v>
      </c>
    </row>
    <row r="631" spans="3:9" x14ac:dyDescent="0.3">
      <c r="C631">
        <v>607</v>
      </c>
      <c r="D631">
        <v>3493.4</v>
      </c>
      <c r="E631" t="s">
        <v>650</v>
      </c>
      <c r="F631">
        <v>2762.37</v>
      </c>
      <c r="G631" t="s">
        <v>650</v>
      </c>
      <c r="H631">
        <v>3000.39</v>
      </c>
      <c r="I631" t="s">
        <v>650</v>
      </c>
    </row>
    <row r="632" spans="3:9" x14ac:dyDescent="0.3">
      <c r="C632">
        <v>608</v>
      </c>
      <c r="D632">
        <v>4890.2700000000004</v>
      </c>
      <c r="E632" t="s">
        <v>650</v>
      </c>
      <c r="F632">
        <v>2752.53</v>
      </c>
      <c r="G632" t="s">
        <v>650</v>
      </c>
      <c r="H632">
        <v>2799.55</v>
      </c>
      <c r="I632" t="s">
        <v>650</v>
      </c>
    </row>
    <row r="633" spans="3:9" x14ac:dyDescent="0.3">
      <c r="C633">
        <v>609</v>
      </c>
      <c r="D633">
        <v>2910.46</v>
      </c>
      <c r="E633" t="s">
        <v>650</v>
      </c>
      <c r="F633">
        <v>3446.45</v>
      </c>
      <c r="G633" t="s">
        <v>650</v>
      </c>
      <c r="H633">
        <v>4838.3100000000004</v>
      </c>
      <c r="I633" t="s">
        <v>650</v>
      </c>
    </row>
    <row r="634" spans="3:9" x14ac:dyDescent="0.3">
      <c r="C634">
        <v>610</v>
      </c>
      <c r="D634">
        <v>3327.11</v>
      </c>
      <c r="E634" t="s">
        <v>650</v>
      </c>
      <c r="F634">
        <v>4101.97</v>
      </c>
      <c r="G634" t="s">
        <v>650</v>
      </c>
      <c r="H634">
        <v>5393.47</v>
      </c>
      <c r="I634" t="s">
        <v>650</v>
      </c>
    </row>
    <row r="635" spans="3:9" x14ac:dyDescent="0.3">
      <c r="C635">
        <v>611</v>
      </c>
      <c r="D635">
        <v>2335.0500000000002</v>
      </c>
      <c r="E635" t="s">
        <v>650</v>
      </c>
      <c r="F635">
        <v>2625.57</v>
      </c>
      <c r="G635" t="s">
        <v>650</v>
      </c>
      <c r="H635">
        <v>3553.91</v>
      </c>
      <c r="I635" t="s">
        <v>650</v>
      </c>
    </row>
    <row r="636" spans="3:9" x14ac:dyDescent="0.3">
      <c r="C636">
        <v>612</v>
      </c>
      <c r="D636">
        <v>3476.67</v>
      </c>
      <c r="E636" t="s">
        <v>650</v>
      </c>
      <c r="F636">
        <v>3421.59</v>
      </c>
      <c r="G636" t="s">
        <v>650</v>
      </c>
      <c r="H636">
        <v>2395.64</v>
      </c>
      <c r="I636" t="s">
        <v>650</v>
      </c>
    </row>
    <row r="637" spans="3:9" x14ac:dyDescent="0.3">
      <c r="C637">
        <v>613</v>
      </c>
      <c r="D637">
        <v>2914.11</v>
      </c>
      <c r="E637" t="s">
        <v>650</v>
      </c>
      <c r="F637">
        <v>4204.7</v>
      </c>
      <c r="G637" t="s">
        <v>650</v>
      </c>
      <c r="H637">
        <v>2905.27</v>
      </c>
      <c r="I637" t="s">
        <v>650</v>
      </c>
    </row>
    <row r="638" spans="3:9" x14ac:dyDescent="0.3">
      <c r="C638">
        <v>614</v>
      </c>
      <c r="D638">
        <v>2558.94</v>
      </c>
      <c r="E638" t="s">
        <v>650</v>
      </c>
      <c r="F638">
        <v>3522.52</v>
      </c>
      <c r="G638" t="s">
        <v>650</v>
      </c>
      <c r="H638">
        <v>3570.11</v>
      </c>
      <c r="I638" t="s">
        <v>650</v>
      </c>
    </row>
    <row r="639" spans="3:9" x14ac:dyDescent="0.3">
      <c r="C639">
        <v>615</v>
      </c>
      <c r="D639">
        <v>2943.97</v>
      </c>
      <c r="E639" t="s">
        <v>650</v>
      </c>
      <c r="F639">
        <v>2362.46</v>
      </c>
      <c r="G639" t="s">
        <v>650</v>
      </c>
      <c r="H639">
        <v>2401.5300000000002</v>
      </c>
      <c r="I639" t="s">
        <v>650</v>
      </c>
    </row>
    <row r="640" spans="3:9" x14ac:dyDescent="0.3">
      <c r="C640">
        <v>616</v>
      </c>
      <c r="D640">
        <v>2353.71</v>
      </c>
      <c r="E640" t="s">
        <v>650</v>
      </c>
      <c r="F640">
        <v>2556.21</v>
      </c>
      <c r="G640" t="s">
        <v>650</v>
      </c>
      <c r="H640">
        <v>2109.25</v>
      </c>
      <c r="I640" t="s">
        <v>650</v>
      </c>
    </row>
    <row r="641" spans="3:9" x14ac:dyDescent="0.3">
      <c r="C641">
        <v>617</v>
      </c>
      <c r="D641">
        <v>3283.08</v>
      </c>
      <c r="E641" t="s">
        <v>650</v>
      </c>
      <c r="F641">
        <v>3891.57</v>
      </c>
      <c r="G641" t="s">
        <v>650</v>
      </c>
      <c r="H641">
        <v>3580.71</v>
      </c>
      <c r="I641" t="s">
        <v>650</v>
      </c>
    </row>
    <row r="642" spans="3:9" x14ac:dyDescent="0.3">
      <c r="C642">
        <v>618</v>
      </c>
      <c r="D642">
        <v>2215.5100000000002</v>
      </c>
      <c r="E642" t="s">
        <v>650</v>
      </c>
      <c r="F642">
        <v>2390.79</v>
      </c>
      <c r="G642" t="s">
        <v>650</v>
      </c>
      <c r="H642">
        <v>6062.7</v>
      </c>
      <c r="I642" t="s">
        <v>650</v>
      </c>
    </row>
    <row r="643" spans="3:9" x14ac:dyDescent="0.3">
      <c r="C643">
        <v>619</v>
      </c>
      <c r="D643">
        <v>2790.47</v>
      </c>
      <c r="E643" t="s">
        <v>650</v>
      </c>
      <c r="F643">
        <v>3811.93</v>
      </c>
      <c r="G643" t="s">
        <v>650</v>
      </c>
      <c r="H643">
        <v>2679.37</v>
      </c>
      <c r="I643" t="s">
        <v>650</v>
      </c>
    </row>
    <row r="644" spans="3:9" x14ac:dyDescent="0.3">
      <c r="C644">
        <v>620</v>
      </c>
      <c r="D644">
        <v>2854.31</v>
      </c>
      <c r="E644" t="s">
        <v>650</v>
      </c>
      <c r="F644">
        <v>3198.59</v>
      </c>
      <c r="G644" t="s">
        <v>650</v>
      </c>
      <c r="H644">
        <v>2646.58</v>
      </c>
      <c r="I644" t="s">
        <v>650</v>
      </c>
    </row>
    <row r="645" spans="3:9" x14ac:dyDescent="0.3">
      <c r="C645">
        <v>621</v>
      </c>
      <c r="D645">
        <v>3950.01</v>
      </c>
      <c r="E645" t="s">
        <v>650</v>
      </c>
      <c r="F645">
        <v>2286.89</v>
      </c>
      <c r="G645" t="s">
        <v>650</v>
      </c>
      <c r="H645">
        <v>2829.73</v>
      </c>
      <c r="I645" t="s">
        <v>650</v>
      </c>
    </row>
    <row r="646" spans="3:9" x14ac:dyDescent="0.3">
      <c r="C646">
        <v>622</v>
      </c>
      <c r="D646">
        <v>2658.31</v>
      </c>
      <c r="E646" t="s">
        <v>650</v>
      </c>
      <c r="F646">
        <v>3432.93</v>
      </c>
      <c r="G646" t="s">
        <v>650</v>
      </c>
      <c r="H646">
        <v>4836.18</v>
      </c>
      <c r="I646" t="s">
        <v>650</v>
      </c>
    </row>
    <row r="647" spans="3:9" x14ac:dyDescent="0.3">
      <c r="C647">
        <v>623</v>
      </c>
      <c r="D647">
        <v>2629.27</v>
      </c>
      <c r="E647" t="s">
        <v>650</v>
      </c>
      <c r="F647">
        <v>3342.38</v>
      </c>
      <c r="G647" t="s">
        <v>650</v>
      </c>
      <c r="H647">
        <v>4178.1899999999996</v>
      </c>
      <c r="I647" t="s">
        <v>650</v>
      </c>
    </row>
    <row r="648" spans="3:9" x14ac:dyDescent="0.3">
      <c r="C648">
        <v>624</v>
      </c>
      <c r="D648">
        <v>2938.98</v>
      </c>
      <c r="E648" t="s">
        <v>650</v>
      </c>
      <c r="F648">
        <v>3590.13</v>
      </c>
      <c r="G648" t="s">
        <v>650</v>
      </c>
      <c r="H648">
        <v>3374.73</v>
      </c>
      <c r="I648" t="s">
        <v>650</v>
      </c>
    </row>
    <row r="649" spans="3:9" x14ac:dyDescent="0.3">
      <c r="C649">
        <v>625</v>
      </c>
      <c r="D649">
        <v>2688.79</v>
      </c>
      <c r="E649" t="s">
        <v>650</v>
      </c>
      <c r="F649">
        <v>2639.88</v>
      </c>
      <c r="G649" t="s">
        <v>650</v>
      </c>
      <c r="H649">
        <v>4542.8500000000004</v>
      </c>
      <c r="I649" t="s">
        <v>650</v>
      </c>
    </row>
    <row r="650" spans="3:9" x14ac:dyDescent="0.3">
      <c r="C650">
        <v>626</v>
      </c>
      <c r="D650">
        <v>3737.31</v>
      </c>
      <c r="E650" t="s">
        <v>650</v>
      </c>
      <c r="F650">
        <v>3071.74</v>
      </c>
      <c r="G650" t="s">
        <v>650</v>
      </c>
      <c r="H650">
        <v>4602.63</v>
      </c>
      <c r="I650" t="s">
        <v>650</v>
      </c>
    </row>
    <row r="651" spans="3:9" x14ac:dyDescent="0.3">
      <c r="C651">
        <v>627</v>
      </c>
      <c r="D651">
        <v>1904.22</v>
      </c>
      <c r="E651" t="s">
        <v>650</v>
      </c>
      <c r="F651">
        <v>2833.14</v>
      </c>
      <c r="G651" t="s">
        <v>650</v>
      </c>
      <c r="H651">
        <v>4214.3100000000004</v>
      </c>
      <c r="I651" t="s">
        <v>650</v>
      </c>
    </row>
    <row r="652" spans="3:9" x14ac:dyDescent="0.3">
      <c r="C652">
        <v>628</v>
      </c>
      <c r="D652">
        <v>2773.36</v>
      </c>
      <c r="E652" t="s">
        <v>650</v>
      </c>
      <c r="F652">
        <v>3406.47</v>
      </c>
      <c r="G652" t="s">
        <v>650</v>
      </c>
      <c r="H652">
        <v>3581.27</v>
      </c>
      <c r="I652" t="s">
        <v>650</v>
      </c>
    </row>
    <row r="653" spans="3:9" x14ac:dyDescent="0.3">
      <c r="C653">
        <v>629</v>
      </c>
      <c r="D653">
        <v>2649.6</v>
      </c>
      <c r="E653" t="s">
        <v>650</v>
      </c>
      <c r="F653">
        <v>3614.31</v>
      </c>
      <c r="G653" t="s">
        <v>650</v>
      </c>
      <c r="H653">
        <v>2638.54</v>
      </c>
      <c r="I653" t="s">
        <v>650</v>
      </c>
    </row>
    <row r="654" spans="3:9" x14ac:dyDescent="0.3">
      <c r="C654">
        <v>630</v>
      </c>
      <c r="D654">
        <v>2631.93</v>
      </c>
      <c r="E654" t="s">
        <v>650</v>
      </c>
      <c r="F654">
        <v>1802.09</v>
      </c>
      <c r="G654" t="s">
        <v>650</v>
      </c>
      <c r="H654">
        <v>3956.54</v>
      </c>
      <c r="I654" t="s">
        <v>650</v>
      </c>
    </row>
    <row r="655" spans="3:9" x14ac:dyDescent="0.3">
      <c r="C655">
        <v>631</v>
      </c>
      <c r="D655">
        <v>1630.7</v>
      </c>
      <c r="E655" t="s">
        <v>650</v>
      </c>
      <c r="F655">
        <v>2064.23</v>
      </c>
      <c r="G655" t="s">
        <v>650</v>
      </c>
      <c r="H655">
        <v>2484.1</v>
      </c>
      <c r="I655" t="s">
        <v>650</v>
      </c>
    </row>
    <row r="656" spans="3:9" x14ac:dyDescent="0.3">
      <c r="C656">
        <v>632</v>
      </c>
      <c r="D656">
        <v>3749.55</v>
      </c>
      <c r="E656" t="s">
        <v>650</v>
      </c>
      <c r="F656">
        <v>3235.02</v>
      </c>
      <c r="G656" t="s">
        <v>650</v>
      </c>
      <c r="H656">
        <v>4788.04</v>
      </c>
      <c r="I656" t="s">
        <v>650</v>
      </c>
    </row>
    <row r="657" spans="3:9" x14ac:dyDescent="0.3">
      <c r="C657">
        <v>633</v>
      </c>
      <c r="D657">
        <v>2347.83</v>
      </c>
      <c r="E657" t="s">
        <v>650</v>
      </c>
      <c r="F657">
        <v>3342.29</v>
      </c>
      <c r="G657" t="s">
        <v>650</v>
      </c>
      <c r="H657">
        <v>2829.57</v>
      </c>
      <c r="I657" t="s">
        <v>650</v>
      </c>
    </row>
    <row r="658" spans="3:9" x14ac:dyDescent="0.3">
      <c r="C658">
        <v>634</v>
      </c>
      <c r="D658">
        <v>1872.83</v>
      </c>
      <c r="E658" t="s">
        <v>650</v>
      </c>
      <c r="F658">
        <v>2941.03</v>
      </c>
      <c r="G658" t="s">
        <v>650</v>
      </c>
      <c r="H658">
        <v>4235.1099999999997</v>
      </c>
      <c r="I658" t="s">
        <v>650</v>
      </c>
    </row>
    <row r="659" spans="3:9" x14ac:dyDescent="0.3">
      <c r="C659">
        <v>635</v>
      </c>
      <c r="D659">
        <v>2259.5</v>
      </c>
      <c r="E659" t="s">
        <v>650</v>
      </c>
      <c r="F659">
        <v>2763.85</v>
      </c>
      <c r="G659" t="s">
        <v>650</v>
      </c>
      <c r="H659">
        <v>2303.37</v>
      </c>
      <c r="I659" t="s">
        <v>650</v>
      </c>
    </row>
    <row r="660" spans="3:9" x14ac:dyDescent="0.3">
      <c r="C660">
        <v>636</v>
      </c>
      <c r="D660">
        <v>2517.44</v>
      </c>
      <c r="E660" t="s">
        <v>650</v>
      </c>
      <c r="F660">
        <v>2128.0500000000002</v>
      </c>
      <c r="G660" t="s">
        <v>650</v>
      </c>
      <c r="H660">
        <v>4000.72</v>
      </c>
      <c r="I660" t="s">
        <v>650</v>
      </c>
    </row>
    <row r="661" spans="3:9" x14ac:dyDescent="0.3">
      <c r="C661">
        <v>637</v>
      </c>
      <c r="D661">
        <v>3312.34</v>
      </c>
      <c r="E661" t="s">
        <v>650</v>
      </c>
      <c r="F661">
        <v>3070.71</v>
      </c>
      <c r="G661" t="s">
        <v>650</v>
      </c>
      <c r="H661">
        <v>4172.3900000000003</v>
      </c>
      <c r="I661" t="s">
        <v>650</v>
      </c>
    </row>
    <row r="662" spans="3:9" x14ac:dyDescent="0.3">
      <c r="C662">
        <v>638</v>
      </c>
      <c r="D662">
        <v>3456.18</v>
      </c>
      <c r="E662" t="s">
        <v>650</v>
      </c>
      <c r="F662">
        <v>2923.36</v>
      </c>
      <c r="G662" t="s">
        <v>650</v>
      </c>
      <c r="H662">
        <v>1744.85</v>
      </c>
      <c r="I662" t="s">
        <v>650</v>
      </c>
    </row>
    <row r="663" spans="3:9" x14ac:dyDescent="0.3">
      <c r="C663">
        <v>639</v>
      </c>
      <c r="D663">
        <v>2444.9499999999998</v>
      </c>
      <c r="E663" t="s">
        <v>650</v>
      </c>
      <c r="F663">
        <v>2855.19</v>
      </c>
      <c r="G663" t="s">
        <v>650</v>
      </c>
      <c r="H663">
        <v>3626.44</v>
      </c>
      <c r="I663" t="s">
        <v>650</v>
      </c>
    </row>
    <row r="664" spans="3:9" x14ac:dyDescent="0.3">
      <c r="C664">
        <v>640</v>
      </c>
      <c r="D664">
        <v>2725.93</v>
      </c>
      <c r="E664" t="s">
        <v>650</v>
      </c>
      <c r="F664">
        <v>3520.45</v>
      </c>
      <c r="G664" t="s">
        <v>650</v>
      </c>
      <c r="H664">
        <v>3551.82</v>
      </c>
      <c r="I664" t="s">
        <v>650</v>
      </c>
    </row>
    <row r="665" spans="3:9" x14ac:dyDescent="0.3">
      <c r="C665">
        <v>641</v>
      </c>
      <c r="D665">
        <v>1856.24</v>
      </c>
      <c r="E665" t="s">
        <v>650</v>
      </c>
      <c r="F665">
        <v>3850.97</v>
      </c>
      <c r="G665" t="s">
        <v>650</v>
      </c>
      <c r="H665">
        <v>3697.58</v>
      </c>
      <c r="I665" t="s">
        <v>650</v>
      </c>
    </row>
    <row r="666" spans="3:9" x14ac:dyDescent="0.3">
      <c r="C666">
        <v>642</v>
      </c>
      <c r="D666">
        <v>2913.5</v>
      </c>
      <c r="E666" t="s">
        <v>650</v>
      </c>
      <c r="F666">
        <v>2860.11</v>
      </c>
      <c r="G666" t="s">
        <v>650</v>
      </c>
      <c r="H666">
        <v>3414.96</v>
      </c>
      <c r="I666" t="s">
        <v>650</v>
      </c>
    </row>
    <row r="667" spans="3:9" x14ac:dyDescent="0.3">
      <c r="C667">
        <v>643</v>
      </c>
      <c r="D667">
        <v>2079.89</v>
      </c>
      <c r="E667" t="s">
        <v>650</v>
      </c>
      <c r="F667">
        <v>4042.78</v>
      </c>
      <c r="G667" t="s">
        <v>650</v>
      </c>
      <c r="H667">
        <v>4518.18</v>
      </c>
      <c r="I667" t="s">
        <v>650</v>
      </c>
    </row>
    <row r="668" spans="3:9" x14ac:dyDescent="0.3">
      <c r="C668">
        <v>644</v>
      </c>
      <c r="D668">
        <v>3524.61</v>
      </c>
      <c r="E668" t="s">
        <v>650</v>
      </c>
      <c r="F668">
        <v>2455.6999999999998</v>
      </c>
      <c r="G668" t="s">
        <v>650</v>
      </c>
      <c r="H668">
        <v>4161.29</v>
      </c>
      <c r="I668" t="s">
        <v>650</v>
      </c>
    </row>
    <row r="669" spans="3:9" x14ac:dyDescent="0.3">
      <c r="C669">
        <v>645</v>
      </c>
      <c r="D669">
        <v>2519.77</v>
      </c>
      <c r="E669" t="s">
        <v>650</v>
      </c>
      <c r="F669">
        <v>3001.11</v>
      </c>
      <c r="G669" t="s">
        <v>650</v>
      </c>
      <c r="H669">
        <v>3373.55</v>
      </c>
      <c r="I669" t="s">
        <v>650</v>
      </c>
    </row>
    <row r="670" spans="3:9" x14ac:dyDescent="0.3">
      <c r="C670">
        <v>646</v>
      </c>
      <c r="D670">
        <v>2207.3000000000002</v>
      </c>
      <c r="E670" t="s">
        <v>650</v>
      </c>
      <c r="F670">
        <v>2949.21</v>
      </c>
      <c r="G670" t="s">
        <v>650</v>
      </c>
      <c r="H670">
        <v>4632.58</v>
      </c>
      <c r="I670" t="s">
        <v>650</v>
      </c>
    </row>
    <row r="671" spans="3:9" x14ac:dyDescent="0.3">
      <c r="C671">
        <v>647</v>
      </c>
      <c r="D671">
        <v>3087.37</v>
      </c>
      <c r="E671" t="s">
        <v>650</v>
      </c>
      <c r="F671">
        <v>4184.87</v>
      </c>
      <c r="G671" t="s">
        <v>650</v>
      </c>
      <c r="H671">
        <v>2495.38</v>
      </c>
      <c r="I671" t="s">
        <v>650</v>
      </c>
    </row>
    <row r="672" spans="3:9" x14ac:dyDescent="0.3">
      <c r="C672">
        <v>648</v>
      </c>
      <c r="D672">
        <v>2932.28</v>
      </c>
      <c r="E672" t="s">
        <v>650</v>
      </c>
      <c r="F672">
        <v>3093.54</v>
      </c>
      <c r="G672" t="s">
        <v>650</v>
      </c>
      <c r="H672">
        <v>3024.56</v>
      </c>
      <c r="I672" t="s">
        <v>650</v>
      </c>
    </row>
    <row r="673" spans="3:9" x14ac:dyDescent="0.3">
      <c r="C673">
        <v>649</v>
      </c>
      <c r="D673">
        <v>3680.7</v>
      </c>
      <c r="E673" t="s">
        <v>650</v>
      </c>
      <c r="F673">
        <v>4226.78</v>
      </c>
      <c r="G673" t="s">
        <v>650</v>
      </c>
      <c r="H673">
        <v>3316.01</v>
      </c>
      <c r="I673" t="s">
        <v>650</v>
      </c>
    </row>
    <row r="674" spans="3:9" x14ac:dyDescent="0.3">
      <c r="C674">
        <v>650</v>
      </c>
      <c r="D674">
        <v>3130.54</v>
      </c>
      <c r="E674" t="s">
        <v>650</v>
      </c>
      <c r="F674">
        <v>2524.0100000000002</v>
      </c>
      <c r="G674" t="s">
        <v>650</v>
      </c>
      <c r="H674">
        <v>2836.69</v>
      </c>
      <c r="I674" t="s">
        <v>650</v>
      </c>
    </row>
    <row r="675" spans="3:9" x14ac:dyDescent="0.3">
      <c r="C675">
        <v>651</v>
      </c>
      <c r="D675">
        <v>3592.7</v>
      </c>
      <c r="E675" t="s">
        <v>650</v>
      </c>
      <c r="F675">
        <v>2804.14</v>
      </c>
      <c r="G675" t="s">
        <v>650</v>
      </c>
      <c r="H675">
        <v>4395.3</v>
      </c>
      <c r="I675" t="s">
        <v>650</v>
      </c>
    </row>
    <row r="676" spans="3:9" x14ac:dyDescent="0.3">
      <c r="C676">
        <v>652</v>
      </c>
      <c r="D676">
        <v>3040.49</v>
      </c>
      <c r="E676" t="s">
        <v>650</v>
      </c>
      <c r="F676">
        <v>3044.25</v>
      </c>
      <c r="G676" t="s">
        <v>650</v>
      </c>
      <c r="H676">
        <v>2712.66</v>
      </c>
      <c r="I676" t="s">
        <v>650</v>
      </c>
    </row>
    <row r="677" spans="3:9" x14ac:dyDescent="0.3">
      <c r="C677">
        <v>653</v>
      </c>
      <c r="D677">
        <v>2312.5</v>
      </c>
      <c r="E677" t="s">
        <v>650</v>
      </c>
      <c r="F677">
        <v>3534.58</v>
      </c>
      <c r="G677" t="s">
        <v>650</v>
      </c>
      <c r="H677">
        <v>1440.28</v>
      </c>
      <c r="I677" t="s">
        <v>650</v>
      </c>
    </row>
    <row r="678" spans="3:9" x14ac:dyDescent="0.3">
      <c r="C678">
        <v>654</v>
      </c>
      <c r="D678">
        <v>3562.01</v>
      </c>
      <c r="E678" t="s">
        <v>650</v>
      </c>
      <c r="F678">
        <v>3054.13</v>
      </c>
      <c r="G678" t="s">
        <v>650</v>
      </c>
      <c r="H678">
        <v>3775.25</v>
      </c>
      <c r="I678" t="s">
        <v>650</v>
      </c>
    </row>
    <row r="679" spans="3:9" x14ac:dyDescent="0.3">
      <c r="C679">
        <v>655</v>
      </c>
      <c r="D679">
        <v>3529.12</v>
      </c>
      <c r="E679" t="s">
        <v>650</v>
      </c>
      <c r="F679">
        <v>1904.43</v>
      </c>
      <c r="G679" t="s">
        <v>650</v>
      </c>
      <c r="H679">
        <v>882.53</v>
      </c>
      <c r="I679" t="s">
        <v>650</v>
      </c>
    </row>
    <row r="680" spans="3:9" x14ac:dyDescent="0.3">
      <c r="C680">
        <v>656</v>
      </c>
      <c r="D680">
        <v>3201.98</v>
      </c>
      <c r="E680" t="s">
        <v>650</v>
      </c>
      <c r="F680">
        <v>3615.52</v>
      </c>
      <c r="G680" t="s">
        <v>650</v>
      </c>
      <c r="H680">
        <v>2828.3</v>
      </c>
      <c r="I680" t="s">
        <v>650</v>
      </c>
    </row>
    <row r="681" spans="3:9" x14ac:dyDescent="0.3">
      <c r="C681">
        <v>657</v>
      </c>
      <c r="D681">
        <v>2555.41</v>
      </c>
      <c r="E681" t="s">
        <v>650</v>
      </c>
      <c r="F681">
        <v>2014.06</v>
      </c>
      <c r="G681" t="s">
        <v>650</v>
      </c>
      <c r="H681">
        <v>4032.58</v>
      </c>
      <c r="I681" t="s">
        <v>650</v>
      </c>
    </row>
    <row r="682" spans="3:9" x14ac:dyDescent="0.3">
      <c r="C682">
        <v>658</v>
      </c>
      <c r="D682">
        <v>3422.16</v>
      </c>
      <c r="E682" t="s">
        <v>650</v>
      </c>
      <c r="F682">
        <v>3283.03</v>
      </c>
      <c r="G682" t="s">
        <v>650</v>
      </c>
      <c r="H682">
        <v>2936.17</v>
      </c>
      <c r="I682" t="s">
        <v>650</v>
      </c>
    </row>
    <row r="683" spans="3:9" x14ac:dyDescent="0.3">
      <c r="C683">
        <v>659</v>
      </c>
      <c r="D683">
        <v>2335.6799999999998</v>
      </c>
      <c r="E683" t="s">
        <v>650</v>
      </c>
      <c r="F683">
        <v>3647.68</v>
      </c>
      <c r="G683" t="s">
        <v>650</v>
      </c>
      <c r="H683">
        <v>1928.51</v>
      </c>
      <c r="I683" t="s">
        <v>650</v>
      </c>
    </row>
    <row r="684" spans="3:9" x14ac:dyDescent="0.3">
      <c r="C684">
        <v>660</v>
      </c>
      <c r="D684">
        <v>2607.16</v>
      </c>
      <c r="E684" t="s">
        <v>650</v>
      </c>
      <c r="F684">
        <v>2733.24</v>
      </c>
      <c r="G684" t="s">
        <v>650</v>
      </c>
      <c r="H684">
        <v>2599.77</v>
      </c>
      <c r="I684" t="s">
        <v>650</v>
      </c>
    </row>
    <row r="685" spans="3:9" x14ac:dyDescent="0.3">
      <c r="C685">
        <v>661</v>
      </c>
      <c r="D685">
        <v>2791.53</v>
      </c>
      <c r="E685" t="s">
        <v>650</v>
      </c>
      <c r="F685">
        <v>3436.51</v>
      </c>
      <c r="G685" t="s">
        <v>650</v>
      </c>
      <c r="H685">
        <v>2506.2199999999998</v>
      </c>
      <c r="I685" t="s">
        <v>650</v>
      </c>
    </row>
    <row r="686" spans="3:9" x14ac:dyDescent="0.3">
      <c r="C686">
        <v>662</v>
      </c>
      <c r="D686">
        <v>2247.8200000000002</v>
      </c>
      <c r="E686" t="s">
        <v>650</v>
      </c>
      <c r="F686">
        <v>2501.54</v>
      </c>
      <c r="G686" t="s">
        <v>650</v>
      </c>
      <c r="H686">
        <v>4319.3500000000004</v>
      </c>
      <c r="I686" t="s">
        <v>650</v>
      </c>
    </row>
    <row r="687" spans="3:9" x14ac:dyDescent="0.3">
      <c r="C687">
        <v>663</v>
      </c>
      <c r="D687">
        <v>3868.97</v>
      </c>
      <c r="E687" t="s">
        <v>650</v>
      </c>
      <c r="F687">
        <v>4035.76</v>
      </c>
      <c r="G687" t="s">
        <v>650</v>
      </c>
      <c r="H687">
        <v>2112.0300000000002</v>
      </c>
      <c r="I687" t="s">
        <v>650</v>
      </c>
    </row>
    <row r="688" spans="3:9" x14ac:dyDescent="0.3">
      <c r="C688">
        <v>664</v>
      </c>
      <c r="D688">
        <v>3503.08</v>
      </c>
      <c r="E688" t="s">
        <v>650</v>
      </c>
      <c r="F688">
        <v>2913.11</v>
      </c>
      <c r="G688" t="s">
        <v>650</v>
      </c>
      <c r="H688">
        <v>3264.66</v>
      </c>
      <c r="I688" t="s">
        <v>650</v>
      </c>
    </row>
    <row r="689" spans="3:9" x14ac:dyDescent="0.3">
      <c r="C689">
        <v>665</v>
      </c>
      <c r="D689">
        <v>3201.84</v>
      </c>
      <c r="E689" t="s">
        <v>650</v>
      </c>
      <c r="F689">
        <v>2114.0100000000002</v>
      </c>
      <c r="G689" t="s">
        <v>650</v>
      </c>
      <c r="H689">
        <v>3012.83</v>
      </c>
      <c r="I689" t="s">
        <v>650</v>
      </c>
    </row>
    <row r="690" spans="3:9" x14ac:dyDescent="0.3">
      <c r="C690">
        <v>666</v>
      </c>
      <c r="D690">
        <v>2611.94</v>
      </c>
      <c r="E690" t="s">
        <v>650</v>
      </c>
      <c r="F690">
        <v>2746.52</v>
      </c>
      <c r="G690" t="s">
        <v>650</v>
      </c>
      <c r="H690">
        <v>2640.22</v>
      </c>
      <c r="I690" t="s">
        <v>650</v>
      </c>
    </row>
    <row r="691" spans="3:9" x14ac:dyDescent="0.3">
      <c r="C691">
        <v>667</v>
      </c>
      <c r="D691">
        <v>3722.98</v>
      </c>
      <c r="E691" t="s">
        <v>650</v>
      </c>
      <c r="F691">
        <v>2793.24</v>
      </c>
      <c r="G691" t="s">
        <v>650</v>
      </c>
      <c r="H691">
        <v>3030.03</v>
      </c>
      <c r="I691" t="s">
        <v>650</v>
      </c>
    </row>
    <row r="692" spans="3:9" x14ac:dyDescent="0.3">
      <c r="C692">
        <v>668</v>
      </c>
      <c r="D692">
        <v>1923.19</v>
      </c>
      <c r="E692" t="s">
        <v>650</v>
      </c>
      <c r="F692">
        <v>2943.68</v>
      </c>
      <c r="G692" t="s">
        <v>650</v>
      </c>
      <c r="H692">
        <v>2872.86</v>
      </c>
      <c r="I692" t="s">
        <v>650</v>
      </c>
    </row>
    <row r="693" spans="3:9" x14ac:dyDescent="0.3">
      <c r="C693">
        <v>669</v>
      </c>
      <c r="D693">
        <v>3422.89</v>
      </c>
      <c r="E693" t="s">
        <v>650</v>
      </c>
      <c r="F693">
        <v>3247.15</v>
      </c>
      <c r="G693" t="s">
        <v>650</v>
      </c>
      <c r="H693">
        <v>2533.21</v>
      </c>
      <c r="I693" t="s">
        <v>650</v>
      </c>
    </row>
    <row r="694" spans="3:9" x14ac:dyDescent="0.3">
      <c r="C694">
        <v>670</v>
      </c>
      <c r="D694">
        <v>2395.33</v>
      </c>
      <c r="E694" t="s">
        <v>650</v>
      </c>
      <c r="F694">
        <v>3451.5</v>
      </c>
      <c r="G694" t="s">
        <v>650</v>
      </c>
      <c r="H694">
        <v>3301.79</v>
      </c>
      <c r="I694" t="s">
        <v>650</v>
      </c>
    </row>
    <row r="695" spans="3:9" x14ac:dyDescent="0.3">
      <c r="C695">
        <v>671</v>
      </c>
      <c r="D695">
        <v>2769.27</v>
      </c>
      <c r="E695" t="s">
        <v>650</v>
      </c>
      <c r="F695">
        <v>3437.27</v>
      </c>
      <c r="G695" t="s">
        <v>650</v>
      </c>
      <c r="H695">
        <v>2493.1799999999998</v>
      </c>
      <c r="I695" t="s">
        <v>650</v>
      </c>
    </row>
    <row r="696" spans="3:9" x14ac:dyDescent="0.3">
      <c r="C696">
        <v>672</v>
      </c>
      <c r="D696">
        <v>3166.12</v>
      </c>
      <c r="E696" t="s">
        <v>650</v>
      </c>
      <c r="F696">
        <v>1678.41</v>
      </c>
      <c r="G696" t="s">
        <v>650</v>
      </c>
      <c r="H696">
        <v>3714.25</v>
      </c>
      <c r="I696" t="s">
        <v>650</v>
      </c>
    </row>
    <row r="697" spans="3:9" x14ac:dyDescent="0.3">
      <c r="C697">
        <v>673</v>
      </c>
      <c r="D697">
        <v>2908.73</v>
      </c>
      <c r="E697" t="s">
        <v>650</v>
      </c>
      <c r="F697">
        <v>2807.65</v>
      </c>
      <c r="G697" t="s">
        <v>650</v>
      </c>
      <c r="H697">
        <v>3196.78</v>
      </c>
      <c r="I697" t="s">
        <v>650</v>
      </c>
    </row>
    <row r="698" spans="3:9" x14ac:dyDescent="0.3">
      <c r="C698">
        <v>674</v>
      </c>
      <c r="D698">
        <v>3435.06</v>
      </c>
      <c r="E698" t="s">
        <v>650</v>
      </c>
      <c r="F698">
        <v>2493.48</v>
      </c>
      <c r="G698" t="s">
        <v>650</v>
      </c>
      <c r="H698">
        <v>2913.2</v>
      </c>
      <c r="I698" t="s">
        <v>650</v>
      </c>
    </row>
    <row r="699" spans="3:9" x14ac:dyDescent="0.3">
      <c r="C699">
        <v>675</v>
      </c>
      <c r="D699">
        <v>3289.37</v>
      </c>
      <c r="E699" t="s">
        <v>650</v>
      </c>
      <c r="F699">
        <v>2945.88</v>
      </c>
      <c r="G699" t="s">
        <v>650</v>
      </c>
      <c r="H699">
        <v>3915.82</v>
      </c>
      <c r="I699" t="s">
        <v>650</v>
      </c>
    </row>
    <row r="700" spans="3:9" x14ac:dyDescent="0.3">
      <c r="C700">
        <v>676</v>
      </c>
      <c r="D700">
        <v>2710.76</v>
      </c>
      <c r="E700" t="s">
        <v>650</v>
      </c>
      <c r="F700">
        <v>2641.7</v>
      </c>
      <c r="G700" t="s">
        <v>650</v>
      </c>
      <c r="H700">
        <v>3831.04</v>
      </c>
      <c r="I700" t="s">
        <v>650</v>
      </c>
    </row>
    <row r="701" spans="3:9" x14ac:dyDescent="0.3">
      <c r="C701">
        <v>677</v>
      </c>
      <c r="D701">
        <v>2408.73</v>
      </c>
      <c r="E701" t="s">
        <v>650</v>
      </c>
      <c r="F701">
        <v>5059.92</v>
      </c>
      <c r="G701" t="s">
        <v>650</v>
      </c>
      <c r="H701">
        <v>1649.4</v>
      </c>
      <c r="I701" t="s">
        <v>650</v>
      </c>
    </row>
    <row r="702" spans="3:9" x14ac:dyDescent="0.3">
      <c r="C702">
        <v>678</v>
      </c>
      <c r="D702">
        <v>2703.41</v>
      </c>
      <c r="E702" t="s">
        <v>650</v>
      </c>
      <c r="F702">
        <v>3737.86</v>
      </c>
      <c r="G702" t="s">
        <v>650</v>
      </c>
      <c r="H702">
        <v>3385.26</v>
      </c>
      <c r="I702" t="s">
        <v>650</v>
      </c>
    </row>
    <row r="703" spans="3:9" x14ac:dyDescent="0.3">
      <c r="C703">
        <v>679</v>
      </c>
      <c r="D703">
        <v>3561.98</v>
      </c>
      <c r="E703" t="s">
        <v>650</v>
      </c>
      <c r="F703">
        <v>2971.69</v>
      </c>
      <c r="G703" t="s">
        <v>650</v>
      </c>
      <c r="H703">
        <v>2567.7399999999998</v>
      </c>
      <c r="I703" t="s">
        <v>650</v>
      </c>
    </row>
    <row r="704" spans="3:9" x14ac:dyDescent="0.3">
      <c r="C704">
        <v>680</v>
      </c>
      <c r="D704">
        <v>3258.15</v>
      </c>
      <c r="E704" t="s">
        <v>650</v>
      </c>
      <c r="F704">
        <v>3679.86</v>
      </c>
      <c r="G704" t="s">
        <v>650</v>
      </c>
      <c r="H704">
        <v>3878.23</v>
      </c>
      <c r="I704" t="s">
        <v>650</v>
      </c>
    </row>
    <row r="705" spans="3:9" x14ac:dyDescent="0.3">
      <c r="C705">
        <v>681</v>
      </c>
      <c r="D705">
        <v>2138.91</v>
      </c>
      <c r="E705" t="s">
        <v>650</v>
      </c>
      <c r="F705">
        <v>2530.6</v>
      </c>
      <c r="G705" t="s">
        <v>650</v>
      </c>
      <c r="H705">
        <v>1831.44</v>
      </c>
      <c r="I705" t="s">
        <v>650</v>
      </c>
    </row>
    <row r="706" spans="3:9" x14ac:dyDescent="0.3">
      <c r="C706">
        <v>682</v>
      </c>
      <c r="D706">
        <v>3345.3</v>
      </c>
      <c r="E706" t="s">
        <v>650</v>
      </c>
      <c r="F706">
        <v>3556.94</v>
      </c>
      <c r="G706" t="s">
        <v>650</v>
      </c>
      <c r="H706">
        <v>3869.06</v>
      </c>
      <c r="I706" t="s">
        <v>650</v>
      </c>
    </row>
    <row r="707" spans="3:9" x14ac:dyDescent="0.3">
      <c r="C707">
        <v>683</v>
      </c>
      <c r="D707">
        <v>2607.5</v>
      </c>
      <c r="E707" t="s">
        <v>650</v>
      </c>
      <c r="F707">
        <v>4609.09</v>
      </c>
      <c r="G707" t="s">
        <v>650</v>
      </c>
      <c r="H707">
        <v>4735.7</v>
      </c>
      <c r="I707" t="s">
        <v>650</v>
      </c>
    </row>
    <row r="708" spans="3:9" x14ac:dyDescent="0.3">
      <c r="C708">
        <v>684</v>
      </c>
      <c r="D708">
        <v>3347.1</v>
      </c>
      <c r="E708" t="s">
        <v>650</v>
      </c>
      <c r="F708">
        <v>3588.14</v>
      </c>
      <c r="G708" t="s">
        <v>650</v>
      </c>
      <c r="H708">
        <v>3529.42</v>
      </c>
      <c r="I708" t="s">
        <v>650</v>
      </c>
    </row>
    <row r="709" spans="3:9" x14ac:dyDescent="0.3">
      <c r="C709">
        <v>685</v>
      </c>
      <c r="D709">
        <v>1380.15</v>
      </c>
      <c r="E709" t="s">
        <v>650</v>
      </c>
      <c r="F709">
        <v>3067.83</v>
      </c>
      <c r="G709" t="s">
        <v>650</v>
      </c>
      <c r="H709">
        <v>4061.62</v>
      </c>
      <c r="I709" t="s">
        <v>650</v>
      </c>
    </row>
    <row r="710" spans="3:9" x14ac:dyDescent="0.3">
      <c r="C710">
        <v>686</v>
      </c>
      <c r="D710">
        <v>2673.35</v>
      </c>
      <c r="E710" t="s">
        <v>650</v>
      </c>
      <c r="F710">
        <v>4227.1000000000004</v>
      </c>
      <c r="G710" t="s">
        <v>650</v>
      </c>
      <c r="H710">
        <v>4145.34</v>
      </c>
      <c r="I710" t="s">
        <v>650</v>
      </c>
    </row>
    <row r="711" spans="3:9" x14ac:dyDescent="0.3">
      <c r="C711">
        <v>687</v>
      </c>
      <c r="D711">
        <v>2962.93</v>
      </c>
      <c r="E711" t="s">
        <v>650</v>
      </c>
      <c r="F711">
        <v>2063.09</v>
      </c>
      <c r="G711" t="s">
        <v>650</v>
      </c>
      <c r="H711">
        <v>3542.48</v>
      </c>
      <c r="I711" t="s">
        <v>650</v>
      </c>
    </row>
    <row r="712" spans="3:9" x14ac:dyDescent="0.3">
      <c r="C712">
        <v>688</v>
      </c>
      <c r="D712">
        <v>2532.0500000000002</v>
      </c>
      <c r="E712" t="s">
        <v>650</v>
      </c>
      <c r="F712">
        <v>2392.54</v>
      </c>
      <c r="G712" t="s">
        <v>650</v>
      </c>
      <c r="H712">
        <v>1470.75</v>
      </c>
      <c r="I712" t="s">
        <v>650</v>
      </c>
    </row>
    <row r="713" spans="3:9" x14ac:dyDescent="0.3">
      <c r="C713">
        <v>689</v>
      </c>
      <c r="D713">
        <v>3565.2</v>
      </c>
      <c r="E713" t="s">
        <v>650</v>
      </c>
      <c r="F713">
        <v>2114.42</v>
      </c>
      <c r="G713" t="s">
        <v>650</v>
      </c>
      <c r="H713">
        <v>4354.46</v>
      </c>
      <c r="I713" t="s">
        <v>650</v>
      </c>
    </row>
    <row r="714" spans="3:9" x14ac:dyDescent="0.3">
      <c r="C714">
        <v>690</v>
      </c>
      <c r="D714">
        <v>2956.54</v>
      </c>
      <c r="E714" t="s">
        <v>650</v>
      </c>
      <c r="F714">
        <v>3325.18</v>
      </c>
      <c r="G714" t="s">
        <v>650</v>
      </c>
      <c r="H714">
        <v>4374.8</v>
      </c>
      <c r="I714" t="s">
        <v>650</v>
      </c>
    </row>
    <row r="715" spans="3:9" x14ac:dyDescent="0.3">
      <c r="C715">
        <v>691</v>
      </c>
      <c r="D715">
        <v>3222.95</v>
      </c>
      <c r="E715" t="s">
        <v>650</v>
      </c>
      <c r="F715">
        <v>2283.8000000000002</v>
      </c>
      <c r="G715" t="s">
        <v>650</v>
      </c>
      <c r="H715">
        <v>3883.42</v>
      </c>
      <c r="I715" t="s">
        <v>650</v>
      </c>
    </row>
    <row r="716" spans="3:9" x14ac:dyDescent="0.3">
      <c r="C716">
        <v>692</v>
      </c>
      <c r="D716">
        <v>2654.98</v>
      </c>
      <c r="E716" t="s">
        <v>650</v>
      </c>
      <c r="F716">
        <v>3750.69</v>
      </c>
      <c r="G716" t="s">
        <v>650</v>
      </c>
      <c r="H716">
        <v>2016.46</v>
      </c>
      <c r="I716" t="s">
        <v>650</v>
      </c>
    </row>
    <row r="717" spans="3:9" x14ac:dyDescent="0.3">
      <c r="C717">
        <v>693</v>
      </c>
      <c r="D717">
        <v>2723.96</v>
      </c>
      <c r="E717" t="s">
        <v>650</v>
      </c>
      <c r="F717">
        <v>3958.77</v>
      </c>
      <c r="G717" t="s">
        <v>650</v>
      </c>
      <c r="H717">
        <v>3939.22</v>
      </c>
      <c r="I717" t="s">
        <v>650</v>
      </c>
    </row>
    <row r="718" spans="3:9" x14ac:dyDescent="0.3">
      <c r="C718">
        <v>694</v>
      </c>
      <c r="D718">
        <v>4118.17</v>
      </c>
      <c r="E718" t="s">
        <v>650</v>
      </c>
      <c r="F718">
        <v>3997.81</v>
      </c>
      <c r="G718" t="s">
        <v>650</v>
      </c>
      <c r="H718">
        <v>3101.15</v>
      </c>
      <c r="I718" t="s">
        <v>650</v>
      </c>
    </row>
    <row r="719" spans="3:9" x14ac:dyDescent="0.3">
      <c r="C719">
        <v>695</v>
      </c>
      <c r="D719">
        <v>2228.39</v>
      </c>
      <c r="E719" t="s">
        <v>650</v>
      </c>
      <c r="F719">
        <v>3172.42</v>
      </c>
      <c r="G719" t="s">
        <v>650</v>
      </c>
      <c r="H719">
        <v>3348.19</v>
      </c>
      <c r="I719" t="s">
        <v>650</v>
      </c>
    </row>
    <row r="720" spans="3:9" x14ac:dyDescent="0.3">
      <c r="C720">
        <v>696</v>
      </c>
      <c r="D720">
        <v>3744.76</v>
      </c>
      <c r="E720" t="s">
        <v>650</v>
      </c>
      <c r="F720">
        <v>3445.82</v>
      </c>
      <c r="G720" t="s">
        <v>650</v>
      </c>
      <c r="H720">
        <v>3654.32</v>
      </c>
      <c r="I720" t="s">
        <v>650</v>
      </c>
    </row>
    <row r="721" spans="3:9" x14ac:dyDescent="0.3">
      <c r="C721">
        <v>697</v>
      </c>
      <c r="D721">
        <v>1820.98</v>
      </c>
      <c r="E721" t="s">
        <v>650</v>
      </c>
      <c r="F721">
        <v>4817.8599999999997</v>
      </c>
      <c r="G721" t="s">
        <v>650</v>
      </c>
      <c r="H721">
        <v>2012.09</v>
      </c>
      <c r="I721" t="s">
        <v>650</v>
      </c>
    </row>
    <row r="722" spans="3:9" x14ac:dyDescent="0.3">
      <c r="C722">
        <v>698</v>
      </c>
      <c r="D722">
        <v>3056.28</v>
      </c>
      <c r="E722" t="s">
        <v>650</v>
      </c>
      <c r="F722">
        <v>3663.42</v>
      </c>
      <c r="G722" t="s">
        <v>650</v>
      </c>
      <c r="H722">
        <v>2555.0700000000002</v>
      </c>
      <c r="I722" t="s">
        <v>650</v>
      </c>
    </row>
    <row r="723" spans="3:9" x14ac:dyDescent="0.3">
      <c r="C723">
        <v>699</v>
      </c>
      <c r="D723">
        <v>2788.69</v>
      </c>
      <c r="E723" t="s">
        <v>650</v>
      </c>
      <c r="F723">
        <v>2198.9499999999998</v>
      </c>
      <c r="G723" t="s">
        <v>650</v>
      </c>
      <c r="H723">
        <v>3063.26</v>
      </c>
      <c r="I723" t="s">
        <v>650</v>
      </c>
    </row>
    <row r="724" spans="3:9" x14ac:dyDescent="0.3">
      <c r="C724">
        <v>700</v>
      </c>
      <c r="D724">
        <v>2929.84</v>
      </c>
      <c r="E724" t="s">
        <v>650</v>
      </c>
      <c r="F724">
        <v>3679.53</v>
      </c>
      <c r="G724" t="s">
        <v>650</v>
      </c>
      <c r="H724">
        <v>2912.76</v>
      </c>
      <c r="I724" t="s">
        <v>650</v>
      </c>
    </row>
    <row r="725" spans="3:9" x14ac:dyDescent="0.3">
      <c r="C725">
        <v>701</v>
      </c>
      <c r="D725">
        <v>3151.33</v>
      </c>
      <c r="E725" t="s">
        <v>649</v>
      </c>
      <c r="F725">
        <v>3167.13</v>
      </c>
      <c r="G725" t="s">
        <v>649</v>
      </c>
      <c r="H725">
        <v>5075.46</v>
      </c>
      <c r="I725" t="s">
        <v>649</v>
      </c>
    </row>
    <row r="726" spans="3:9" x14ac:dyDescent="0.3">
      <c r="C726">
        <v>702</v>
      </c>
      <c r="D726">
        <v>4802.47</v>
      </c>
      <c r="E726" t="s">
        <v>649</v>
      </c>
      <c r="F726">
        <v>3436.51</v>
      </c>
      <c r="G726" t="s">
        <v>649</v>
      </c>
      <c r="H726">
        <v>4178.1000000000004</v>
      </c>
      <c r="I726" t="s">
        <v>649</v>
      </c>
    </row>
    <row r="727" spans="3:9" x14ac:dyDescent="0.3">
      <c r="C727">
        <v>703</v>
      </c>
      <c r="D727">
        <v>4223.62</v>
      </c>
      <c r="E727" t="s">
        <v>649</v>
      </c>
      <c r="F727">
        <v>3467.62</v>
      </c>
      <c r="G727" t="s">
        <v>649</v>
      </c>
      <c r="H727">
        <v>6526.29</v>
      </c>
      <c r="I727" t="s">
        <v>649</v>
      </c>
    </row>
    <row r="728" spans="3:9" x14ac:dyDescent="0.3">
      <c r="C728">
        <v>704</v>
      </c>
      <c r="D728">
        <v>4455.29</v>
      </c>
      <c r="E728" t="s">
        <v>649</v>
      </c>
      <c r="F728">
        <v>4095.16</v>
      </c>
      <c r="G728" t="s">
        <v>649</v>
      </c>
      <c r="H728">
        <v>4828.47</v>
      </c>
      <c r="I728" t="s">
        <v>649</v>
      </c>
    </row>
    <row r="729" spans="3:9" x14ac:dyDescent="0.3">
      <c r="C729">
        <v>705</v>
      </c>
      <c r="D729">
        <v>5756.48</v>
      </c>
      <c r="E729" t="s">
        <v>649</v>
      </c>
      <c r="F729">
        <v>4544.1899999999996</v>
      </c>
      <c r="G729" t="s">
        <v>649</v>
      </c>
      <c r="H729">
        <v>5123.2700000000004</v>
      </c>
      <c r="I729" t="s">
        <v>649</v>
      </c>
    </row>
    <row r="730" spans="3:9" x14ac:dyDescent="0.3">
      <c r="C730">
        <v>706</v>
      </c>
      <c r="D730">
        <v>5535.84</v>
      </c>
      <c r="E730" t="s">
        <v>649</v>
      </c>
      <c r="F730">
        <v>4298.16</v>
      </c>
      <c r="G730" t="s">
        <v>649</v>
      </c>
      <c r="H730">
        <v>4968.3500000000004</v>
      </c>
      <c r="I730" t="s">
        <v>649</v>
      </c>
    </row>
    <row r="731" spans="3:9" x14ac:dyDescent="0.3">
      <c r="C731">
        <v>707</v>
      </c>
      <c r="D731">
        <v>3674.51</v>
      </c>
      <c r="E731" t="s">
        <v>649</v>
      </c>
      <c r="F731">
        <v>3426.54</v>
      </c>
      <c r="G731" t="s">
        <v>649</v>
      </c>
      <c r="H731">
        <v>3284.28</v>
      </c>
      <c r="I731" t="s">
        <v>649</v>
      </c>
    </row>
    <row r="732" spans="3:9" x14ac:dyDescent="0.3">
      <c r="C732">
        <v>708</v>
      </c>
      <c r="D732">
        <v>5155.6499999999996</v>
      </c>
      <c r="E732" t="s">
        <v>649</v>
      </c>
      <c r="F732">
        <v>5695.43</v>
      </c>
      <c r="G732" t="s">
        <v>649</v>
      </c>
      <c r="H732">
        <v>5179.08</v>
      </c>
      <c r="I732" t="s">
        <v>649</v>
      </c>
    </row>
    <row r="733" spans="3:9" x14ac:dyDescent="0.3">
      <c r="C733">
        <v>709</v>
      </c>
      <c r="D733">
        <v>7023.11</v>
      </c>
      <c r="E733" t="s">
        <v>649</v>
      </c>
      <c r="F733">
        <v>3976.39</v>
      </c>
      <c r="G733" t="s">
        <v>649</v>
      </c>
      <c r="H733">
        <v>2696.88</v>
      </c>
      <c r="I733" t="s">
        <v>649</v>
      </c>
    </row>
    <row r="734" spans="3:9" x14ac:dyDescent="0.3">
      <c r="C734">
        <v>710</v>
      </c>
      <c r="D734">
        <v>6992.88</v>
      </c>
      <c r="E734" t="s">
        <v>649</v>
      </c>
      <c r="F734">
        <v>6010.62</v>
      </c>
      <c r="G734" t="s">
        <v>649</v>
      </c>
      <c r="H734">
        <v>5159.57</v>
      </c>
      <c r="I734" t="s">
        <v>649</v>
      </c>
    </row>
    <row r="735" spans="3:9" x14ac:dyDescent="0.3">
      <c r="C735">
        <v>711</v>
      </c>
      <c r="D735">
        <v>4287.1499999999996</v>
      </c>
      <c r="E735" t="s">
        <v>649</v>
      </c>
      <c r="F735">
        <v>5365.32</v>
      </c>
      <c r="G735" t="s">
        <v>649</v>
      </c>
      <c r="H735">
        <v>4238.51</v>
      </c>
      <c r="I735" t="s">
        <v>649</v>
      </c>
    </row>
    <row r="736" spans="3:9" x14ac:dyDescent="0.3">
      <c r="C736">
        <v>712</v>
      </c>
      <c r="D736">
        <v>3755.66</v>
      </c>
      <c r="E736" t="s">
        <v>649</v>
      </c>
      <c r="F736">
        <v>5446.9</v>
      </c>
      <c r="G736" t="s">
        <v>649</v>
      </c>
      <c r="H736">
        <v>4120.5200000000004</v>
      </c>
      <c r="I736" t="s">
        <v>649</v>
      </c>
    </row>
    <row r="737" spans="3:9" x14ac:dyDescent="0.3">
      <c r="C737">
        <v>713</v>
      </c>
      <c r="D737">
        <v>5672.6</v>
      </c>
      <c r="E737" t="s">
        <v>649</v>
      </c>
      <c r="F737">
        <v>4873.51</v>
      </c>
      <c r="G737" t="s">
        <v>649</v>
      </c>
      <c r="H737">
        <v>4838.59</v>
      </c>
      <c r="I737" t="s">
        <v>649</v>
      </c>
    </row>
    <row r="738" spans="3:9" x14ac:dyDescent="0.3">
      <c r="C738">
        <v>714</v>
      </c>
      <c r="D738">
        <v>5755.78</v>
      </c>
      <c r="E738" t="s">
        <v>649</v>
      </c>
      <c r="F738">
        <v>3905.79</v>
      </c>
      <c r="G738" t="s">
        <v>649</v>
      </c>
      <c r="H738">
        <v>4767.1099999999997</v>
      </c>
      <c r="I738" t="s">
        <v>649</v>
      </c>
    </row>
    <row r="739" spans="3:9" x14ac:dyDescent="0.3">
      <c r="C739">
        <v>715</v>
      </c>
      <c r="D739">
        <v>4130.91</v>
      </c>
      <c r="E739" t="s">
        <v>649</v>
      </c>
      <c r="F739">
        <v>6246.72</v>
      </c>
      <c r="G739" t="s">
        <v>649</v>
      </c>
      <c r="H739">
        <v>5237.38</v>
      </c>
      <c r="I739" t="s">
        <v>649</v>
      </c>
    </row>
    <row r="740" spans="3:9" x14ac:dyDescent="0.3">
      <c r="C740">
        <v>716</v>
      </c>
      <c r="D740">
        <v>3357.91</v>
      </c>
      <c r="E740" t="s">
        <v>649</v>
      </c>
      <c r="F740">
        <v>4411.0200000000004</v>
      </c>
      <c r="G740" t="s">
        <v>649</v>
      </c>
      <c r="H740">
        <v>3549.38</v>
      </c>
      <c r="I740" t="s">
        <v>649</v>
      </c>
    </row>
    <row r="741" spans="3:9" x14ac:dyDescent="0.3">
      <c r="C741">
        <v>717</v>
      </c>
      <c r="D741">
        <v>7365.18</v>
      </c>
      <c r="E741" t="s">
        <v>649</v>
      </c>
      <c r="F741">
        <v>3971.86</v>
      </c>
      <c r="G741" t="s">
        <v>649</v>
      </c>
      <c r="H741">
        <v>4459.99</v>
      </c>
      <c r="I741" t="s">
        <v>649</v>
      </c>
    </row>
    <row r="742" spans="3:9" x14ac:dyDescent="0.3">
      <c r="C742">
        <v>718</v>
      </c>
      <c r="D742">
        <v>4690.5200000000004</v>
      </c>
      <c r="E742" t="s">
        <v>649</v>
      </c>
      <c r="F742">
        <v>4142.28</v>
      </c>
      <c r="G742" t="s">
        <v>649</v>
      </c>
      <c r="H742">
        <v>3567.48</v>
      </c>
      <c r="I742" t="s">
        <v>649</v>
      </c>
    </row>
    <row r="743" spans="3:9" x14ac:dyDescent="0.3">
      <c r="C743">
        <v>719</v>
      </c>
      <c r="D743">
        <v>4795.29</v>
      </c>
      <c r="E743" t="s">
        <v>649</v>
      </c>
      <c r="F743">
        <v>6441.75</v>
      </c>
      <c r="G743" t="s">
        <v>649</v>
      </c>
      <c r="H743">
        <v>4130.03</v>
      </c>
      <c r="I743" t="s">
        <v>649</v>
      </c>
    </row>
    <row r="744" spans="3:9" x14ac:dyDescent="0.3">
      <c r="C744">
        <v>720</v>
      </c>
      <c r="D744">
        <v>3767.72</v>
      </c>
      <c r="E744" t="s">
        <v>649</v>
      </c>
      <c r="F744">
        <v>4131.58</v>
      </c>
      <c r="G744" t="s">
        <v>649</v>
      </c>
      <c r="H744">
        <v>5102.0600000000004</v>
      </c>
      <c r="I744" t="s">
        <v>649</v>
      </c>
    </row>
    <row r="745" spans="3:9" x14ac:dyDescent="0.3">
      <c r="C745">
        <v>721</v>
      </c>
      <c r="D745">
        <v>5227.6400000000003</v>
      </c>
      <c r="E745" t="s">
        <v>649</v>
      </c>
      <c r="F745">
        <v>6155.35</v>
      </c>
      <c r="G745" t="s">
        <v>649</v>
      </c>
      <c r="H745">
        <v>3681.12</v>
      </c>
      <c r="I745" t="s">
        <v>649</v>
      </c>
    </row>
    <row r="746" spans="3:9" x14ac:dyDescent="0.3">
      <c r="C746">
        <v>722</v>
      </c>
      <c r="D746">
        <v>2617.8000000000002</v>
      </c>
      <c r="E746" t="s">
        <v>649</v>
      </c>
      <c r="F746">
        <v>4888.3500000000004</v>
      </c>
      <c r="G746" t="s">
        <v>649</v>
      </c>
      <c r="H746">
        <v>2565.1</v>
      </c>
      <c r="I746" t="s">
        <v>649</v>
      </c>
    </row>
    <row r="747" spans="3:9" x14ac:dyDescent="0.3">
      <c r="C747">
        <v>723</v>
      </c>
      <c r="D747">
        <v>4463.32</v>
      </c>
      <c r="E747" t="s">
        <v>649</v>
      </c>
      <c r="F747">
        <v>5035.8999999999996</v>
      </c>
      <c r="G747" t="s">
        <v>649</v>
      </c>
      <c r="H747">
        <v>6361.31</v>
      </c>
      <c r="I747" t="s">
        <v>649</v>
      </c>
    </row>
    <row r="748" spans="3:9" x14ac:dyDescent="0.3">
      <c r="C748">
        <v>724</v>
      </c>
      <c r="D748">
        <v>4285.43</v>
      </c>
      <c r="E748" t="s">
        <v>649</v>
      </c>
      <c r="F748">
        <v>4387.7</v>
      </c>
      <c r="G748" t="s">
        <v>649</v>
      </c>
      <c r="H748">
        <v>5136.78</v>
      </c>
      <c r="I748" t="s">
        <v>649</v>
      </c>
    </row>
    <row r="749" spans="3:9" x14ac:dyDescent="0.3">
      <c r="C749">
        <v>725</v>
      </c>
      <c r="D749">
        <v>5425.1</v>
      </c>
      <c r="E749" t="s">
        <v>649</v>
      </c>
      <c r="F749">
        <v>2881.98</v>
      </c>
      <c r="G749" t="s">
        <v>649</v>
      </c>
      <c r="H749">
        <v>3205.64</v>
      </c>
      <c r="I749" t="s">
        <v>649</v>
      </c>
    </row>
    <row r="750" spans="3:9" x14ac:dyDescent="0.3">
      <c r="C750">
        <v>726</v>
      </c>
      <c r="D750">
        <v>5555.12</v>
      </c>
      <c r="E750" t="s">
        <v>649</v>
      </c>
      <c r="F750">
        <v>5420.06</v>
      </c>
      <c r="G750" t="s">
        <v>649</v>
      </c>
      <c r="H750">
        <v>4849.88</v>
      </c>
      <c r="I750" t="s">
        <v>649</v>
      </c>
    </row>
    <row r="751" spans="3:9" x14ac:dyDescent="0.3">
      <c r="C751">
        <v>727</v>
      </c>
      <c r="D751">
        <v>5252.91</v>
      </c>
      <c r="E751" t="s">
        <v>649</v>
      </c>
      <c r="F751">
        <v>3883.03</v>
      </c>
      <c r="G751" t="s">
        <v>649</v>
      </c>
      <c r="H751">
        <v>3952.87</v>
      </c>
      <c r="I751" t="s">
        <v>649</v>
      </c>
    </row>
    <row r="752" spans="3:9" x14ac:dyDescent="0.3">
      <c r="C752">
        <v>728</v>
      </c>
      <c r="D752">
        <v>5179.17</v>
      </c>
      <c r="E752" t="s">
        <v>649</v>
      </c>
      <c r="F752">
        <v>5118.26</v>
      </c>
      <c r="G752" t="s">
        <v>649</v>
      </c>
      <c r="H752">
        <v>4164.3100000000004</v>
      </c>
      <c r="I752" t="s">
        <v>649</v>
      </c>
    </row>
    <row r="753" spans="3:9" x14ac:dyDescent="0.3">
      <c r="C753">
        <v>729</v>
      </c>
      <c r="D753">
        <v>5959.32</v>
      </c>
      <c r="E753" t="s">
        <v>649</v>
      </c>
      <c r="F753">
        <v>4550.1499999999996</v>
      </c>
      <c r="G753" t="s">
        <v>649</v>
      </c>
      <c r="H753">
        <v>4944.8999999999996</v>
      </c>
      <c r="I753" t="s">
        <v>649</v>
      </c>
    </row>
    <row r="754" spans="3:9" x14ac:dyDescent="0.3">
      <c r="C754">
        <v>730</v>
      </c>
      <c r="D754">
        <v>5930.27</v>
      </c>
      <c r="E754" t="s">
        <v>649</v>
      </c>
      <c r="F754">
        <v>6058.8</v>
      </c>
      <c r="G754" t="s">
        <v>649</v>
      </c>
      <c r="H754">
        <v>5182.84</v>
      </c>
      <c r="I754" t="s">
        <v>649</v>
      </c>
    </row>
    <row r="755" spans="3:9" x14ac:dyDescent="0.3">
      <c r="C755">
        <v>731</v>
      </c>
      <c r="D755">
        <v>1683.46</v>
      </c>
      <c r="E755" t="s">
        <v>649</v>
      </c>
      <c r="F755">
        <v>2799.24</v>
      </c>
      <c r="G755" t="s">
        <v>649</v>
      </c>
      <c r="H755">
        <v>4607.71</v>
      </c>
      <c r="I755" t="s">
        <v>649</v>
      </c>
    </row>
    <row r="756" spans="3:9" x14ac:dyDescent="0.3">
      <c r="C756">
        <v>732</v>
      </c>
      <c r="D756">
        <v>3059.78</v>
      </c>
      <c r="E756" t="s">
        <v>649</v>
      </c>
      <c r="F756">
        <v>4208.68</v>
      </c>
      <c r="G756" t="s">
        <v>649</v>
      </c>
      <c r="H756">
        <v>4826.51</v>
      </c>
      <c r="I756" t="s">
        <v>649</v>
      </c>
    </row>
    <row r="757" spans="3:9" x14ac:dyDescent="0.3">
      <c r="C757">
        <v>733</v>
      </c>
      <c r="D757">
        <v>4950.6400000000003</v>
      </c>
      <c r="E757" t="s">
        <v>649</v>
      </c>
      <c r="F757">
        <v>5770.17</v>
      </c>
      <c r="G757" t="s">
        <v>649</v>
      </c>
      <c r="H757">
        <v>4297.09</v>
      </c>
      <c r="I757" t="s">
        <v>649</v>
      </c>
    </row>
    <row r="758" spans="3:9" x14ac:dyDescent="0.3">
      <c r="C758">
        <v>734</v>
      </c>
      <c r="D758">
        <v>3603.97</v>
      </c>
      <c r="E758" t="s">
        <v>649</v>
      </c>
      <c r="F758">
        <v>4558.92</v>
      </c>
      <c r="G758" t="s">
        <v>649</v>
      </c>
      <c r="H758">
        <v>3760.15</v>
      </c>
      <c r="I758" t="s">
        <v>649</v>
      </c>
    </row>
    <row r="759" spans="3:9" x14ac:dyDescent="0.3">
      <c r="C759">
        <v>735</v>
      </c>
      <c r="D759">
        <v>5789.97</v>
      </c>
      <c r="E759" t="s">
        <v>649</v>
      </c>
      <c r="F759">
        <v>3997.93</v>
      </c>
      <c r="G759" t="s">
        <v>649</v>
      </c>
      <c r="H759">
        <v>4210.3100000000004</v>
      </c>
      <c r="I759" t="s">
        <v>649</v>
      </c>
    </row>
    <row r="760" spans="3:9" x14ac:dyDescent="0.3">
      <c r="C760">
        <v>736</v>
      </c>
      <c r="D760">
        <v>3491.48</v>
      </c>
      <c r="E760" t="s">
        <v>649</v>
      </c>
      <c r="F760">
        <v>2925.85</v>
      </c>
      <c r="G760" t="s">
        <v>649</v>
      </c>
      <c r="H760">
        <v>4655.32</v>
      </c>
      <c r="I760" t="s">
        <v>649</v>
      </c>
    </row>
    <row r="761" spans="3:9" x14ac:dyDescent="0.3">
      <c r="C761">
        <v>737</v>
      </c>
      <c r="D761">
        <v>5622.13</v>
      </c>
      <c r="E761" t="s">
        <v>649</v>
      </c>
      <c r="F761">
        <v>4659.1400000000003</v>
      </c>
      <c r="G761" t="s">
        <v>649</v>
      </c>
      <c r="H761">
        <v>4612.49</v>
      </c>
      <c r="I761" t="s">
        <v>649</v>
      </c>
    </row>
    <row r="762" spans="3:9" x14ac:dyDescent="0.3">
      <c r="C762">
        <v>738</v>
      </c>
      <c r="D762">
        <v>3941.01</v>
      </c>
      <c r="E762" t="s">
        <v>649</v>
      </c>
      <c r="F762">
        <v>2719.85</v>
      </c>
      <c r="G762" t="s">
        <v>649</v>
      </c>
      <c r="H762">
        <v>4100.71</v>
      </c>
      <c r="I762" t="s">
        <v>649</v>
      </c>
    </row>
    <row r="763" spans="3:9" x14ac:dyDescent="0.3">
      <c r="C763">
        <v>739</v>
      </c>
      <c r="D763">
        <v>3769.34</v>
      </c>
      <c r="E763" t="s">
        <v>649</v>
      </c>
      <c r="F763">
        <v>5777.37</v>
      </c>
      <c r="G763" t="s">
        <v>649</v>
      </c>
      <c r="H763">
        <v>3982.99</v>
      </c>
      <c r="I763" t="s">
        <v>649</v>
      </c>
    </row>
    <row r="764" spans="3:9" x14ac:dyDescent="0.3">
      <c r="C764">
        <v>740</v>
      </c>
      <c r="D764">
        <v>5617.82</v>
      </c>
      <c r="E764" t="s">
        <v>649</v>
      </c>
      <c r="F764">
        <v>4360.3100000000004</v>
      </c>
      <c r="G764" t="s">
        <v>649</v>
      </c>
      <c r="H764">
        <v>3949.46</v>
      </c>
      <c r="I764" t="s">
        <v>649</v>
      </c>
    </row>
    <row r="765" spans="3:9" x14ac:dyDescent="0.3">
      <c r="C765">
        <v>741</v>
      </c>
      <c r="D765">
        <v>3024.56</v>
      </c>
      <c r="E765" t="s">
        <v>649</v>
      </c>
      <c r="F765">
        <v>3673.92</v>
      </c>
      <c r="G765" t="s">
        <v>649</v>
      </c>
      <c r="H765">
        <v>4569.17</v>
      </c>
      <c r="I765" t="s">
        <v>649</v>
      </c>
    </row>
    <row r="766" spans="3:9" x14ac:dyDescent="0.3">
      <c r="C766">
        <v>742</v>
      </c>
      <c r="D766">
        <v>5519.76</v>
      </c>
      <c r="E766" t="s">
        <v>649</v>
      </c>
      <c r="F766">
        <v>4081.1</v>
      </c>
      <c r="G766" t="s">
        <v>649</v>
      </c>
      <c r="H766">
        <v>5373.26</v>
      </c>
      <c r="I766" t="s">
        <v>649</v>
      </c>
    </row>
    <row r="767" spans="3:9" x14ac:dyDescent="0.3">
      <c r="C767">
        <v>743</v>
      </c>
      <c r="D767">
        <v>3867.35</v>
      </c>
      <c r="E767" t="s">
        <v>649</v>
      </c>
      <c r="F767">
        <v>4595.16</v>
      </c>
      <c r="G767" t="s">
        <v>649</v>
      </c>
      <c r="H767">
        <v>4597.8100000000004</v>
      </c>
      <c r="I767" t="s">
        <v>649</v>
      </c>
    </row>
    <row r="768" spans="3:9" x14ac:dyDescent="0.3">
      <c r="C768">
        <v>744</v>
      </c>
      <c r="D768">
        <v>3213.5</v>
      </c>
      <c r="E768" t="s">
        <v>649</v>
      </c>
      <c r="F768">
        <v>3149.15</v>
      </c>
      <c r="G768" t="s">
        <v>649</v>
      </c>
      <c r="H768">
        <v>3505.79</v>
      </c>
      <c r="I768" t="s">
        <v>649</v>
      </c>
    </row>
    <row r="769" spans="3:9" x14ac:dyDescent="0.3">
      <c r="C769">
        <v>745</v>
      </c>
      <c r="D769">
        <v>2546.8200000000002</v>
      </c>
      <c r="E769" t="s">
        <v>649</v>
      </c>
      <c r="F769">
        <v>3610.42</v>
      </c>
      <c r="G769" t="s">
        <v>649</v>
      </c>
      <c r="H769">
        <v>4437.6899999999996</v>
      </c>
      <c r="I769" t="s">
        <v>649</v>
      </c>
    </row>
    <row r="770" spans="3:9" x14ac:dyDescent="0.3">
      <c r="C770">
        <v>746</v>
      </c>
      <c r="D770">
        <v>4412.3</v>
      </c>
      <c r="E770" t="s">
        <v>649</v>
      </c>
      <c r="F770">
        <v>3619.59</v>
      </c>
      <c r="G770" t="s">
        <v>649</v>
      </c>
      <c r="H770">
        <v>5414.72</v>
      </c>
      <c r="I770" t="s">
        <v>649</v>
      </c>
    </row>
    <row r="771" spans="3:9" x14ac:dyDescent="0.3">
      <c r="C771">
        <v>747</v>
      </c>
      <c r="D771">
        <v>4127.17</v>
      </c>
      <c r="E771" t="s">
        <v>649</v>
      </c>
      <c r="F771">
        <v>4206.01</v>
      </c>
      <c r="G771" t="s">
        <v>649</v>
      </c>
      <c r="H771">
        <v>4328.4799999999996</v>
      </c>
      <c r="I771" t="s">
        <v>649</v>
      </c>
    </row>
    <row r="772" spans="3:9" x14ac:dyDescent="0.3">
      <c r="C772">
        <v>748</v>
      </c>
      <c r="D772">
        <v>4639.22</v>
      </c>
      <c r="E772" t="s">
        <v>649</v>
      </c>
      <c r="F772">
        <v>6228.89</v>
      </c>
      <c r="G772" t="s">
        <v>649</v>
      </c>
      <c r="H772">
        <v>4385.4799999999996</v>
      </c>
      <c r="I772" t="s">
        <v>649</v>
      </c>
    </row>
    <row r="773" spans="3:9" x14ac:dyDescent="0.3">
      <c r="C773">
        <v>749</v>
      </c>
      <c r="D773">
        <v>5141.8500000000004</v>
      </c>
      <c r="E773" t="s">
        <v>649</v>
      </c>
      <c r="F773">
        <v>4516.8900000000003</v>
      </c>
      <c r="G773" t="s">
        <v>649</v>
      </c>
      <c r="H773">
        <v>4514.6400000000003</v>
      </c>
      <c r="I773" t="s">
        <v>649</v>
      </c>
    </row>
    <row r="774" spans="3:9" x14ac:dyDescent="0.3">
      <c r="C774">
        <v>750</v>
      </c>
      <c r="D774">
        <v>4309.6499999999996</v>
      </c>
      <c r="E774" t="s">
        <v>649</v>
      </c>
      <c r="F774">
        <v>5670.29</v>
      </c>
      <c r="G774" t="s">
        <v>649</v>
      </c>
      <c r="H774">
        <v>5084.29</v>
      </c>
      <c r="I774" t="s">
        <v>649</v>
      </c>
    </row>
    <row r="775" spans="3:9" x14ac:dyDescent="0.3">
      <c r="C775">
        <v>751</v>
      </c>
      <c r="D775">
        <v>3641.21</v>
      </c>
      <c r="E775" t="s">
        <v>649</v>
      </c>
      <c r="F775">
        <v>4794.88</v>
      </c>
      <c r="G775" t="s">
        <v>649</v>
      </c>
      <c r="H775">
        <v>6683.44</v>
      </c>
      <c r="I775" t="s">
        <v>649</v>
      </c>
    </row>
    <row r="776" spans="3:9" x14ac:dyDescent="0.3">
      <c r="C776">
        <v>752</v>
      </c>
      <c r="D776">
        <v>3690.42</v>
      </c>
      <c r="E776" t="s">
        <v>649</v>
      </c>
      <c r="F776">
        <v>4353.9799999999996</v>
      </c>
      <c r="G776" t="s">
        <v>649</v>
      </c>
      <c r="H776">
        <v>6234.86</v>
      </c>
      <c r="I776" t="s">
        <v>649</v>
      </c>
    </row>
    <row r="777" spans="3:9" x14ac:dyDescent="0.3">
      <c r="C777">
        <v>753</v>
      </c>
      <c r="D777">
        <v>3968.58</v>
      </c>
      <c r="E777" t="s">
        <v>649</v>
      </c>
      <c r="F777">
        <v>4513.6000000000004</v>
      </c>
      <c r="G777" t="s">
        <v>649</v>
      </c>
      <c r="H777">
        <v>6001.9</v>
      </c>
      <c r="I777" t="s">
        <v>649</v>
      </c>
    </row>
    <row r="778" spans="3:9" x14ac:dyDescent="0.3">
      <c r="C778">
        <v>754</v>
      </c>
      <c r="D778">
        <v>6750.69</v>
      </c>
      <c r="E778" t="s">
        <v>649</v>
      </c>
      <c r="F778">
        <v>3229.3</v>
      </c>
      <c r="G778" t="s">
        <v>649</v>
      </c>
      <c r="H778">
        <v>5236.03</v>
      </c>
      <c r="I778" t="s">
        <v>649</v>
      </c>
    </row>
    <row r="779" spans="3:9" x14ac:dyDescent="0.3">
      <c r="C779">
        <v>755</v>
      </c>
      <c r="D779">
        <v>6753.69</v>
      </c>
      <c r="E779" t="s">
        <v>649</v>
      </c>
      <c r="F779">
        <v>3820.33</v>
      </c>
      <c r="G779" t="s">
        <v>649</v>
      </c>
      <c r="H779">
        <v>6800.17</v>
      </c>
      <c r="I779" t="s">
        <v>649</v>
      </c>
    </row>
    <row r="780" spans="3:9" x14ac:dyDescent="0.3">
      <c r="C780">
        <v>756</v>
      </c>
      <c r="D780">
        <v>5113.04</v>
      </c>
      <c r="E780" t="s">
        <v>649</v>
      </c>
      <c r="F780">
        <v>5416.79</v>
      </c>
      <c r="G780" t="s">
        <v>649</v>
      </c>
      <c r="H780">
        <v>6012.79</v>
      </c>
      <c r="I780" t="s">
        <v>649</v>
      </c>
    </row>
    <row r="781" spans="3:9" x14ac:dyDescent="0.3">
      <c r="C781">
        <v>757</v>
      </c>
      <c r="D781">
        <v>4777.75</v>
      </c>
      <c r="E781" t="s">
        <v>649</v>
      </c>
      <c r="F781">
        <v>3463.74</v>
      </c>
      <c r="G781" t="s">
        <v>649</v>
      </c>
      <c r="H781">
        <v>4950.41</v>
      </c>
      <c r="I781" t="s">
        <v>649</v>
      </c>
    </row>
    <row r="782" spans="3:9" x14ac:dyDescent="0.3">
      <c r="C782">
        <v>758</v>
      </c>
      <c r="D782">
        <v>2000.04</v>
      </c>
      <c r="E782" t="s">
        <v>649</v>
      </c>
      <c r="F782">
        <v>4167.2</v>
      </c>
      <c r="G782" t="s">
        <v>649</v>
      </c>
      <c r="H782">
        <v>4442.21</v>
      </c>
      <c r="I782" t="s">
        <v>649</v>
      </c>
    </row>
    <row r="783" spans="3:9" x14ac:dyDescent="0.3">
      <c r="C783">
        <v>759</v>
      </c>
      <c r="D783">
        <v>5338.89</v>
      </c>
      <c r="E783" t="s">
        <v>649</v>
      </c>
      <c r="F783">
        <v>3979.75</v>
      </c>
      <c r="G783" t="s">
        <v>649</v>
      </c>
      <c r="H783">
        <v>4899.9799999999996</v>
      </c>
      <c r="I783" t="s">
        <v>649</v>
      </c>
    </row>
    <row r="784" spans="3:9" x14ac:dyDescent="0.3">
      <c r="C784">
        <v>760</v>
      </c>
      <c r="D784">
        <v>3855.66</v>
      </c>
      <c r="E784" t="s">
        <v>649</v>
      </c>
      <c r="F784">
        <v>3892.05</v>
      </c>
      <c r="G784" t="s">
        <v>649</v>
      </c>
      <c r="H784">
        <v>3746.31</v>
      </c>
      <c r="I784" t="s">
        <v>649</v>
      </c>
    </row>
    <row r="785" spans="3:9" x14ac:dyDescent="0.3">
      <c r="C785">
        <v>761</v>
      </c>
      <c r="D785">
        <v>4810.62</v>
      </c>
      <c r="E785" t="s">
        <v>649</v>
      </c>
      <c r="F785">
        <v>3980.52</v>
      </c>
      <c r="G785" t="s">
        <v>649</v>
      </c>
      <c r="H785">
        <v>5209.76</v>
      </c>
      <c r="I785" t="s">
        <v>649</v>
      </c>
    </row>
    <row r="786" spans="3:9" x14ac:dyDescent="0.3">
      <c r="C786">
        <v>762</v>
      </c>
      <c r="D786">
        <v>5522.41</v>
      </c>
      <c r="E786" t="s">
        <v>649</v>
      </c>
      <c r="F786">
        <v>7656.81</v>
      </c>
      <c r="G786" t="s">
        <v>649</v>
      </c>
      <c r="H786">
        <v>4800.8500000000004</v>
      </c>
      <c r="I786" t="s">
        <v>649</v>
      </c>
    </row>
    <row r="787" spans="3:9" x14ac:dyDescent="0.3">
      <c r="C787">
        <v>763</v>
      </c>
      <c r="D787">
        <v>5977.1</v>
      </c>
      <c r="E787" t="s">
        <v>649</v>
      </c>
      <c r="F787">
        <v>3931.97</v>
      </c>
      <c r="G787" t="s">
        <v>649</v>
      </c>
      <c r="H787">
        <v>5622.38</v>
      </c>
      <c r="I787" t="s">
        <v>649</v>
      </c>
    </row>
    <row r="788" spans="3:9" x14ac:dyDescent="0.3">
      <c r="C788">
        <v>764</v>
      </c>
      <c r="D788">
        <v>7096.57</v>
      </c>
      <c r="E788" t="s">
        <v>649</v>
      </c>
      <c r="F788">
        <v>3736.8</v>
      </c>
      <c r="G788" t="s">
        <v>649</v>
      </c>
      <c r="H788">
        <v>6367.02</v>
      </c>
      <c r="I788" t="s">
        <v>649</v>
      </c>
    </row>
    <row r="789" spans="3:9" x14ac:dyDescent="0.3">
      <c r="C789">
        <v>765</v>
      </c>
      <c r="D789">
        <v>4215.88</v>
      </c>
      <c r="E789" t="s">
        <v>649</v>
      </c>
      <c r="F789">
        <v>3291.17</v>
      </c>
      <c r="G789" t="s">
        <v>649</v>
      </c>
      <c r="H789">
        <v>5402.22</v>
      </c>
      <c r="I789" t="s">
        <v>649</v>
      </c>
    </row>
    <row r="790" spans="3:9" x14ac:dyDescent="0.3">
      <c r="C790">
        <v>766</v>
      </c>
      <c r="D790">
        <v>4366.84</v>
      </c>
      <c r="E790" t="s">
        <v>649</v>
      </c>
      <c r="F790">
        <v>3631.17</v>
      </c>
      <c r="G790" t="s">
        <v>649</v>
      </c>
      <c r="H790">
        <v>5681.67</v>
      </c>
      <c r="I790" t="s">
        <v>649</v>
      </c>
    </row>
    <row r="791" spans="3:9" x14ac:dyDescent="0.3">
      <c r="C791">
        <v>767</v>
      </c>
      <c r="D791">
        <v>4033.97</v>
      </c>
      <c r="E791" t="s">
        <v>649</v>
      </c>
      <c r="F791">
        <v>5173.8100000000004</v>
      </c>
      <c r="G791" t="s">
        <v>649</v>
      </c>
      <c r="H791">
        <v>5661.69</v>
      </c>
      <c r="I791" t="s">
        <v>649</v>
      </c>
    </row>
    <row r="792" spans="3:9" x14ac:dyDescent="0.3">
      <c r="C792">
        <v>768</v>
      </c>
      <c r="D792">
        <v>5462.25</v>
      </c>
      <c r="E792" t="s">
        <v>649</v>
      </c>
      <c r="F792">
        <v>5992.67</v>
      </c>
      <c r="G792" t="s">
        <v>649</v>
      </c>
      <c r="H792">
        <v>4848.84</v>
      </c>
      <c r="I792" t="s">
        <v>649</v>
      </c>
    </row>
    <row r="793" spans="3:9" x14ac:dyDescent="0.3">
      <c r="C793">
        <v>769</v>
      </c>
      <c r="D793">
        <v>6358.25</v>
      </c>
      <c r="E793" t="s">
        <v>649</v>
      </c>
      <c r="F793">
        <v>3529.34</v>
      </c>
      <c r="G793" t="s">
        <v>649</v>
      </c>
      <c r="H793">
        <v>5118.9799999999996</v>
      </c>
      <c r="I793" t="s">
        <v>649</v>
      </c>
    </row>
    <row r="794" spans="3:9" x14ac:dyDescent="0.3">
      <c r="C794">
        <v>770</v>
      </c>
      <c r="D794">
        <v>3657.86</v>
      </c>
      <c r="E794" t="s">
        <v>649</v>
      </c>
      <c r="F794">
        <v>5185.76</v>
      </c>
      <c r="G794" t="s">
        <v>649</v>
      </c>
      <c r="H794">
        <v>3904.16</v>
      </c>
      <c r="I794" t="s">
        <v>649</v>
      </c>
    </row>
    <row r="795" spans="3:9" x14ac:dyDescent="0.3">
      <c r="C795">
        <v>771</v>
      </c>
      <c r="D795">
        <v>4407.2700000000004</v>
      </c>
      <c r="E795" t="s">
        <v>649</v>
      </c>
      <c r="F795">
        <v>4970.1899999999996</v>
      </c>
      <c r="G795" t="s">
        <v>649</v>
      </c>
      <c r="H795">
        <v>3845.14</v>
      </c>
      <c r="I795" t="s">
        <v>649</v>
      </c>
    </row>
    <row r="796" spans="3:9" x14ac:dyDescent="0.3">
      <c r="C796">
        <v>772</v>
      </c>
      <c r="D796">
        <v>4431.26</v>
      </c>
      <c r="E796" t="s">
        <v>649</v>
      </c>
      <c r="F796">
        <v>2634.52</v>
      </c>
      <c r="G796" t="s">
        <v>649</v>
      </c>
      <c r="H796">
        <v>5050.78</v>
      </c>
      <c r="I796" t="s">
        <v>649</v>
      </c>
    </row>
    <row r="797" spans="3:9" x14ac:dyDescent="0.3">
      <c r="C797">
        <v>773</v>
      </c>
      <c r="D797">
        <v>4842.42</v>
      </c>
      <c r="E797" t="s">
        <v>649</v>
      </c>
      <c r="F797">
        <v>5941.35</v>
      </c>
      <c r="G797" t="s">
        <v>649</v>
      </c>
      <c r="H797">
        <v>4686.32</v>
      </c>
      <c r="I797" t="s">
        <v>649</v>
      </c>
    </row>
    <row r="798" spans="3:9" x14ac:dyDescent="0.3">
      <c r="C798">
        <v>774</v>
      </c>
      <c r="D798">
        <v>5297.78</v>
      </c>
      <c r="E798" t="s">
        <v>649</v>
      </c>
      <c r="F798">
        <v>2852.84</v>
      </c>
      <c r="G798" t="s">
        <v>649</v>
      </c>
      <c r="H798">
        <v>2960.82</v>
      </c>
      <c r="I798" t="s">
        <v>649</v>
      </c>
    </row>
    <row r="799" spans="3:9" x14ac:dyDescent="0.3">
      <c r="C799">
        <v>775</v>
      </c>
      <c r="D799">
        <v>5714.82</v>
      </c>
      <c r="E799" t="s">
        <v>649</v>
      </c>
      <c r="F799">
        <v>3912.91</v>
      </c>
      <c r="G799" t="s">
        <v>649</v>
      </c>
      <c r="H799">
        <v>3552.51</v>
      </c>
      <c r="I799" t="s">
        <v>649</v>
      </c>
    </row>
    <row r="800" spans="3:9" x14ac:dyDescent="0.3">
      <c r="C800">
        <v>776</v>
      </c>
      <c r="D800">
        <v>4420.08</v>
      </c>
      <c r="E800" t="s">
        <v>649</v>
      </c>
      <c r="F800">
        <v>5662.07</v>
      </c>
      <c r="G800" t="s">
        <v>649</v>
      </c>
      <c r="H800">
        <v>4157.88</v>
      </c>
      <c r="I800" t="s">
        <v>649</v>
      </c>
    </row>
    <row r="801" spans="3:9" x14ac:dyDescent="0.3">
      <c r="C801">
        <v>777</v>
      </c>
      <c r="D801">
        <v>3752.94</v>
      </c>
      <c r="E801" t="s">
        <v>649</v>
      </c>
      <c r="F801">
        <v>5346.67</v>
      </c>
      <c r="G801" t="s">
        <v>649</v>
      </c>
      <c r="H801">
        <v>3562.06</v>
      </c>
      <c r="I801" t="s">
        <v>649</v>
      </c>
    </row>
    <row r="802" spans="3:9" x14ac:dyDescent="0.3">
      <c r="C802">
        <v>778</v>
      </c>
      <c r="D802">
        <v>2846.4</v>
      </c>
      <c r="E802" t="s">
        <v>649</v>
      </c>
      <c r="F802">
        <v>3975.5</v>
      </c>
      <c r="G802" t="s">
        <v>649</v>
      </c>
      <c r="H802">
        <v>5186.6099999999997</v>
      </c>
      <c r="I802" t="s">
        <v>649</v>
      </c>
    </row>
    <row r="803" spans="3:9" x14ac:dyDescent="0.3">
      <c r="C803">
        <v>779</v>
      </c>
      <c r="D803">
        <v>1794.93</v>
      </c>
      <c r="E803" t="s">
        <v>649</v>
      </c>
      <c r="F803">
        <v>3085.19</v>
      </c>
      <c r="G803" t="s">
        <v>649</v>
      </c>
      <c r="H803">
        <v>5880.66</v>
      </c>
      <c r="I803" t="s">
        <v>649</v>
      </c>
    </row>
    <row r="804" spans="3:9" x14ac:dyDescent="0.3">
      <c r="C804">
        <v>780</v>
      </c>
      <c r="D804">
        <v>3873.56</v>
      </c>
      <c r="E804" t="s">
        <v>649</v>
      </c>
      <c r="F804">
        <v>2552.61</v>
      </c>
      <c r="G804" t="s">
        <v>649</v>
      </c>
      <c r="H804">
        <v>4536.29</v>
      </c>
      <c r="I804" t="s">
        <v>649</v>
      </c>
    </row>
    <row r="805" spans="3:9" x14ac:dyDescent="0.3">
      <c r="C805">
        <v>781</v>
      </c>
      <c r="D805">
        <v>3650.61</v>
      </c>
      <c r="E805" t="s">
        <v>649</v>
      </c>
      <c r="F805">
        <v>6851.78</v>
      </c>
      <c r="G805" t="s">
        <v>649</v>
      </c>
      <c r="H805">
        <v>4687.07</v>
      </c>
      <c r="I805" t="s">
        <v>649</v>
      </c>
    </row>
    <row r="806" spans="3:9" x14ac:dyDescent="0.3">
      <c r="C806">
        <v>782</v>
      </c>
      <c r="D806">
        <v>2020.61</v>
      </c>
      <c r="E806" t="s">
        <v>649</v>
      </c>
      <c r="F806">
        <v>3246.52</v>
      </c>
      <c r="G806" t="s">
        <v>649</v>
      </c>
      <c r="H806">
        <v>7079.71</v>
      </c>
      <c r="I806" t="s">
        <v>649</v>
      </c>
    </row>
    <row r="807" spans="3:9" x14ac:dyDescent="0.3">
      <c r="C807">
        <v>783</v>
      </c>
      <c r="D807">
        <v>6181.85</v>
      </c>
      <c r="E807" t="s">
        <v>649</v>
      </c>
      <c r="F807">
        <v>3861.93</v>
      </c>
      <c r="G807" t="s">
        <v>649</v>
      </c>
      <c r="H807">
        <v>4672.37</v>
      </c>
      <c r="I807" t="s">
        <v>649</v>
      </c>
    </row>
    <row r="808" spans="3:9" x14ac:dyDescent="0.3">
      <c r="C808">
        <v>784</v>
      </c>
      <c r="D808">
        <v>4920.42</v>
      </c>
      <c r="E808" t="s">
        <v>649</v>
      </c>
      <c r="F808">
        <v>4782.57</v>
      </c>
      <c r="G808" t="s">
        <v>649</v>
      </c>
      <c r="H808">
        <v>4340.6000000000004</v>
      </c>
      <c r="I808" t="s">
        <v>649</v>
      </c>
    </row>
    <row r="809" spans="3:9" x14ac:dyDescent="0.3">
      <c r="C809">
        <v>785</v>
      </c>
      <c r="D809">
        <v>5184.1899999999996</v>
      </c>
      <c r="E809" t="s">
        <v>649</v>
      </c>
      <c r="F809">
        <v>3751.09</v>
      </c>
      <c r="G809" t="s">
        <v>649</v>
      </c>
      <c r="H809">
        <v>3499.84</v>
      </c>
      <c r="I809" t="s">
        <v>649</v>
      </c>
    </row>
    <row r="810" spans="3:9" x14ac:dyDescent="0.3">
      <c r="C810">
        <v>786</v>
      </c>
      <c r="D810">
        <v>3695.86</v>
      </c>
      <c r="E810" t="s">
        <v>649</v>
      </c>
      <c r="F810">
        <v>2856.09</v>
      </c>
      <c r="G810" t="s">
        <v>649</v>
      </c>
      <c r="H810">
        <v>3387.2</v>
      </c>
      <c r="I810" t="s">
        <v>649</v>
      </c>
    </row>
    <row r="811" spans="3:9" x14ac:dyDescent="0.3">
      <c r="C811">
        <v>787</v>
      </c>
      <c r="D811">
        <v>3914.69</v>
      </c>
      <c r="E811" t="s">
        <v>649</v>
      </c>
      <c r="F811">
        <v>4281.37</v>
      </c>
      <c r="G811" t="s">
        <v>649</v>
      </c>
      <c r="H811">
        <v>4462.21</v>
      </c>
      <c r="I811" t="s">
        <v>649</v>
      </c>
    </row>
    <row r="812" spans="3:9" x14ac:dyDescent="0.3">
      <c r="C812">
        <v>788</v>
      </c>
      <c r="D812">
        <v>2656.65</v>
      </c>
      <c r="E812" t="s">
        <v>649</v>
      </c>
      <c r="F812">
        <v>3609.81</v>
      </c>
      <c r="G812" t="s">
        <v>649</v>
      </c>
      <c r="H812">
        <v>4747.8100000000004</v>
      </c>
      <c r="I812" t="s">
        <v>649</v>
      </c>
    </row>
    <row r="813" spans="3:9" x14ac:dyDescent="0.3">
      <c r="C813">
        <v>789</v>
      </c>
      <c r="D813">
        <v>5065.47</v>
      </c>
      <c r="E813" t="s">
        <v>649</v>
      </c>
      <c r="F813">
        <v>5199.66</v>
      </c>
      <c r="G813" t="s">
        <v>649</v>
      </c>
      <c r="H813">
        <v>4922.5</v>
      </c>
      <c r="I813" t="s">
        <v>649</v>
      </c>
    </row>
    <row r="814" spans="3:9" x14ac:dyDescent="0.3">
      <c r="C814">
        <v>790</v>
      </c>
      <c r="D814">
        <v>1719.72</v>
      </c>
      <c r="E814" t="s">
        <v>649</v>
      </c>
      <c r="F814">
        <v>3652.59</v>
      </c>
      <c r="G814" t="s">
        <v>649</v>
      </c>
      <c r="H814">
        <v>6107.87</v>
      </c>
      <c r="I814" t="s">
        <v>649</v>
      </c>
    </row>
    <row r="815" spans="3:9" x14ac:dyDescent="0.3">
      <c r="C815">
        <v>791</v>
      </c>
      <c r="D815">
        <v>5422.55</v>
      </c>
      <c r="E815" t="s">
        <v>649</v>
      </c>
      <c r="F815">
        <v>3159.76</v>
      </c>
      <c r="G815" t="s">
        <v>649</v>
      </c>
      <c r="H815">
        <v>5283.88</v>
      </c>
      <c r="I815" t="s">
        <v>649</v>
      </c>
    </row>
    <row r="816" spans="3:9" x14ac:dyDescent="0.3">
      <c r="C816">
        <v>792</v>
      </c>
      <c r="D816">
        <v>5077.99</v>
      </c>
      <c r="E816" t="s">
        <v>649</v>
      </c>
      <c r="F816">
        <v>4209.1499999999996</v>
      </c>
      <c r="G816" t="s">
        <v>649</v>
      </c>
      <c r="H816">
        <v>4867.08</v>
      </c>
      <c r="I816" t="s">
        <v>649</v>
      </c>
    </row>
    <row r="817" spans="3:9" x14ac:dyDescent="0.3">
      <c r="C817">
        <v>793</v>
      </c>
      <c r="D817">
        <v>4777.47</v>
      </c>
      <c r="E817" t="s">
        <v>649</v>
      </c>
      <c r="F817">
        <v>3315.04</v>
      </c>
      <c r="G817" t="s">
        <v>649</v>
      </c>
      <c r="H817">
        <v>4368.37</v>
      </c>
      <c r="I817" t="s">
        <v>649</v>
      </c>
    </row>
    <row r="818" spans="3:9" x14ac:dyDescent="0.3">
      <c r="C818">
        <v>794</v>
      </c>
      <c r="D818">
        <v>2511.4899999999998</v>
      </c>
      <c r="E818" t="s">
        <v>649</v>
      </c>
      <c r="F818">
        <v>4604.01</v>
      </c>
      <c r="G818" t="s">
        <v>649</v>
      </c>
      <c r="H818">
        <v>5238.0600000000004</v>
      </c>
      <c r="I818" t="s">
        <v>649</v>
      </c>
    </row>
    <row r="819" spans="3:9" x14ac:dyDescent="0.3">
      <c r="C819">
        <v>795</v>
      </c>
      <c r="D819">
        <v>4294.66</v>
      </c>
      <c r="E819" t="s">
        <v>649</v>
      </c>
      <c r="F819">
        <v>4699.71</v>
      </c>
      <c r="G819" t="s">
        <v>649</v>
      </c>
      <c r="H819">
        <v>5931.62</v>
      </c>
      <c r="I819" t="s">
        <v>649</v>
      </c>
    </row>
    <row r="820" spans="3:9" x14ac:dyDescent="0.3">
      <c r="C820">
        <v>796</v>
      </c>
      <c r="D820">
        <v>4718.43</v>
      </c>
      <c r="E820" t="s">
        <v>649</v>
      </c>
      <c r="F820">
        <v>4338.75</v>
      </c>
      <c r="G820" t="s">
        <v>649</v>
      </c>
      <c r="H820">
        <v>3990.52</v>
      </c>
      <c r="I820" t="s">
        <v>649</v>
      </c>
    </row>
    <row r="821" spans="3:9" x14ac:dyDescent="0.3">
      <c r="C821">
        <v>797</v>
      </c>
      <c r="D821">
        <v>3469.43</v>
      </c>
      <c r="E821" t="s">
        <v>649</v>
      </c>
      <c r="F821">
        <v>5054.76</v>
      </c>
      <c r="G821" t="s">
        <v>649</v>
      </c>
      <c r="H821">
        <v>5520.12</v>
      </c>
      <c r="I821" t="s">
        <v>649</v>
      </c>
    </row>
    <row r="822" spans="3:9" x14ac:dyDescent="0.3">
      <c r="C822">
        <v>798</v>
      </c>
      <c r="D822">
        <v>5108.13</v>
      </c>
      <c r="E822" t="s">
        <v>649</v>
      </c>
      <c r="F822">
        <v>3549.2</v>
      </c>
      <c r="G822" t="s">
        <v>649</v>
      </c>
      <c r="H822">
        <v>5633.17</v>
      </c>
      <c r="I822" t="s">
        <v>649</v>
      </c>
    </row>
    <row r="823" spans="3:9" x14ac:dyDescent="0.3">
      <c r="C823">
        <v>799</v>
      </c>
      <c r="D823">
        <v>5287.25</v>
      </c>
      <c r="E823" t="s">
        <v>649</v>
      </c>
      <c r="F823">
        <v>1801.42</v>
      </c>
      <c r="G823" t="s">
        <v>649</v>
      </c>
      <c r="H823">
        <v>3928.97</v>
      </c>
      <c r="I823" t="s">
        <v>649</v>
      </c>
    </row>
    <row r="824" spans="3:9" x14ac:dyDescent="0.3">
      <c r="C824">
        <v>800</v>
      </c>
      <c r="D824">
        <v>5326.82</v>
      </c>
      <c r="E824" t="s">
        <v>649</v>
      </c>
      <c r="F824">
        <v>3426.14</v>
      </c>
      <c r="G824" t="s">
        <v>649</v>
      </c>
      <c r="H824">
        <v>3950.64</v>
      </c>
      <c r="I824" t="s">
        <v>649</v>
      </c>
    </row>
    <row r="825" spans="3:9" x14ac:dyDescent="0.3">
      <c r="C825">
        <v>801</v>
      </c>
      <c r="D825">
        <v>3886.99</v>
      </c>
      <c r="E825" t="s">
        <v>649</v>
      </c>
      <c r="F825">
        <v>3971.83</v>
      </c>
      <c r="G825" t="s">
        <v>649</v>
      </c>
      <c r="H825">
        <v>3334</v>
      </c>
      <c r="I825" t="s">
        <v>649</v>
      </c>
    </row>
    <row r="826" spans="3:9" x14ac:dyDescent="0.3">
      <c r="C826">
        <v>802</v>
      </c>
      <c r="D826">
        <v>4277.67</v>
      </c>
      <c r="E826" t="s">
        <v>649</v>
      </c>
      <c r="F826">
        <v>5149.1499999999996</v>
      </c>
      <c r="G826" t="s">
        <v>649</v>
      </c>
      <c r="H826">
        <v>4556.6899999999996</v>
      </c>
      <c r="I826" t="s">
        <v>649</v>
      </c>
    </row>
    <row r="827" spans="3:9" x14ac:dyDescent="0.3">
      <c r="C827">
        <v>803</v>
      </c>
      <c r="D827">
        <v>4583.68</v>
      </c>
      <c r="E827" t="s">
        <v>649</v>
      </c>
      <c r="F827">
        <v>5143.67</v>
      </c>
      <c r="G827" t="s">
        <v>649</v>
      </c>
      <c r="H827">
        <v>4887.05</v>
      </c>
      <c r="I827" t="s">
        <v>649</v>
      </c>
    </row>
    <row r="828" spans="3:9" x14ac:dyDescent="0.3">
      <c r="C828">
        <v>804</v>
      </c>
      <c r="D828">
        <v>6706.96</v>
      </c>
      <c r="E828" t="s">
        <v>649</v>
      </c>
      <c r="F828">
        <v>4220.95</v>
      </c>
      <c r="G828" t="s">
        <v>649</v>
      </c>
      <c r="H828">
        <v>5035.6099999999997</v>
      </c>
      <c r="I828" t="s">
        <v>649</v>
      </c>
    </row>
    <row r="829" spans="3:9" x14ac:dyDescent="0.3">
      <c r="C829">
        <v>805</v>
      </c>
      <c r="D829">
        <v>4444.6499999999996</v>
      </c>
      <c r="E829" t="s">
        <v>649</v>
      </c>
      <c r="F829">
        <v>5147.5200000000004</v>
      </c>
      <c r="G829" t="s">
        <v>649</v>
      </c>
      <c r="H829">
        <v>3960.08</v>
      </c>
      <c r="I829" t="s">
        <v>649</v>
      </c>
    </row>
    <row r="830" spans="3:9" x14ac:dyDescent="0.3">
      <c r="C830">
        <v>806</v>
      </c>
      <c r="D830">
        <v>3495.91</v>
      </c>
      <c r="E830" t="s">
        <v>649</v>
      </c>
      <c r="F830">
        <v>3239.45</v>
      </c>
      <c r="G830" t="s">
        <v>649</v>
      </c>
      <c r="H830">
        <v>5156.09</v>
      </c>
      <c r="I830" t="s">
        <v>649</v>
      </c>
    </row>
    <row r="831" spans="3:9" x14ac:dyDescent="0.3">
      <c r="C831">
        <v>807</v>
      </c>
      <c r="D831">
        <v>2555.0100000000002</v>
      </c>
      <c r="E831" t="s">
        <v>649</v>
      </c>
      <c r="F831">
        <v>5932.62</v>
      </c>
      <c r="G831" t="s">
        <v>649</v>
      </c>
      <c r="H831">
        <v>3060.67</v>
      </c>
      <c r="I831" t="s">
        <v>649</v>
      </c>
    </row>
    <row r="832" spans="3:9" x14ac:dyDescent="0.3">
      <c r="C832">
        <v>808</v>
      </c>
      <c r="D832">
        <v>4178.3999999999996</v>
      </c>
      <c r="E832" t="s">
        <v>649</v>
      </c>
      <c r="F832">
        <v>4164.6499999999996</v>
      </c>
      <c r="G832" t="s">
        <v>649</v>
      </c>
      <c r="H832">
        <v>3189.47</v>
      </c>
      <c r="I832" t="s">
        <v>649</v>
      </c>
    </row>
    <row r="833" spans="3:9" x14ac:dyDescent="0.3">
      <c r="C833">
        <v>809</v>
      </c>
      <c r="D833">
        <v>4254.6099999999997</v>
      </c>
      <c r="E833" t="s">
        <v>649</v>
      </c>
      <c r="F833">
        <v>5562.34</v>
      </c>
      <c r="G833" t="s">
        <v>649</v>
      </c>
      <c r="H833">
        <v>3946.1</v>
      </c>
      <c r="I833" t="s">
        <v>649</v>
      </c>
    </row>
    <row r="834" spans="3:9" x14ac:dyDescent="0.3">
      <c r="C834">
        <v>810</v>
      </c>
      <c r="D834">
        <v>3814.06</v>
      </c>
      <c r="E834" t="s">
        <v>649</v>
      </c>
      <c r="F834">
        <v>5679.93</v>
      </c>
      <c r="G834" t="s">
        <v>649</v>
      </c>
      <c r="H834">
        <v>4363.7299999999996</v>
      </c>
      <c r="I834" t="s">
        <v>649</v>
      </c>
    </row>
    <row r="835" spans="3:9" x14ac:dyDescent="0.3">
      <c r="C835">
        <v>811</v>
      </c>
      <c r="D835">
        <v>4639.5600000000004</v>
      </c>
      <c r="E835" t="s">
        <v>649</v>
      </c>
      <c r="F835">
        <v>6797.51</v>
      </c>
      <c r="G835" t="s">
        <v>649</v>
      </c>
      <c r="H835">
        <v>4563.32</v>
      </c>
      <c r="I835" t="s">
        <v>649</v>
      </c>
    </row>
    <row r="836" spans="3:9" x14ac:dyDescent="0.3">
      <c r="C836">
        <v>812</v>
      </c>
      <c r="D836">
        <v>3536.59</v>
      </c>
      <c r="E836" t="s">
        <v>649</v>
      </c>
      <c r="F836">
        <v>4121.3100000000004</v>
      </c>
      <c r="G836" t="s">
        <v>649</v>
      </c>
      <c r="H836">
        <v>4032.92</v>
      </c>
      <c r="I836" t="s">
        <v>649</v>
      </c>
    </row>
    <row r="837" spans="3:9" x14ac:dyDescent="0.3">
      <c r="C837">
        <v>813</v>
      </c>
      <c r="D837">
        <v>5006.45</v>
      </c>
      <c r="E837" t="s">
        <v>649</v>
      </c>
      <c r="F837">
        <v>5014.04</v>
      </c>
      <c r="G837" t="s">
        <v>649</v>
      </c>
      <c r="H837">
        <v>5001.3</v>
      </c>
      <c r="I837" t="s">
        <v>649</v>
      </c>
    </row>
    <row r="838" spans="3:9" x14ac:dyDescent="0.3">
      <c r="C838">
        <v>814</v>
      </c>
      <c r="D838">
        <v>4710.8100000000004</v>
      </c>
      <c r="E838" t="s">
        <v>649</v>
      </c>
      <c r="F838">
        <v>4752.0200000000004</v>
      </c>
      <c r="G838" t="s">
        <v>649</v>
      </c>
      <c r="H838">
        <v>5116.49</v>
      </c>
      <c r="I838" t="s">
        <v>649</v>
      </c>
    </row>
    <row r="839" spans="3:9" x14ac:dyDescent="0.3">
      <c r="C839">
        <v>815</v>
      </c>
      <c r="D839">
        <v>4957.79</v>
      </c>
      <c r="E839" t="s">
        <v>649</v>
      </c>
      <c r="F839">
        <v>4468.45</v>
      </c>
      <c r="G839" t="s">
        <v>649</v>
      </c>
      <c r="H839">
        <v>3290.87</v>
      </c>
      <c r="I839" t="s">
        <v>649</v>
      </c>
    </row>
    <row r="840" spans="3:9" x14ac:dyDescent="0.3">
      <c r="C840">
        <v>816</v>
      </c>
      <c r="D840">
        <v>3195.32</v>
      </c>
      <c r="E840" t="s">
        <v>649</v>
      </c>
      <c r="F840">
        <v>5908.31</v>
      </c>
      <c r="G840" t="s">
        <v>649</v>
      </c>
      <c r="H840">
        <v>4023.83</v>
      </c>
      <c r="I840" t="s">
        <v>649</v>
      </c>
    </row>
    <row r="841" spans="3:9" x14ac:dyDescent="0.3">
      <c r="C841">
        <v>817</v>
      </c>
      <c r="D841">
        <v>2155.4699999999998</v>
      </c>
      <c r="E841" t="s">
        <v>649</v>
      </c>
      <c r="F841">
        <v>2866.7</v>
      </c>
      <c r="G841" t="s">
        <v>649</v>
      </c>
      <c r="H841">
        <v>6100.52</v>
      </c>
      <c r="I841" t="s">
        <v>649</v>
      </c>
    </row>
    <row r="842" spans="3:9" x14ac:dyDescent="0.3">
      <c r="C842">
        <v>818</v>
      </c>
      <c r="D842">
        <v>6080.92</v>
      </c>
      <c r="E842" t="s">
        <v>649</v>
      </c>
      <c r="F842">
        <v>4784.3599999999997</v>
      </c>
      <c r="G842" t="s">
        <v>649</v>
      </c>
      <c r="H842">
        <v>4241.1000000000004</v>
      </c>
      <c r="I842" t="s">
        <v>649</v>
      </c>
    </row>
    <row r="843" spans="3:9" x14ac:dyDescent="0.3">
      <c r="C843">
        <v>819</v>
      </c>
      <c r="D843">
        <v>3717.9</v>
      </c>
      <c r="E843" t="s">
        <v>649</v>
      </c>
      <c r="F843">
        <v>4031.98</v>
      </c>
      <c r="G843" t="s">
        <v>649</v>
      </c>
      <c r="H843">
        <v>4151.76</v>
      </c>
      <c r="I843" t="s">
        <v>649</v>
      </c>
    </row>
    <row r="844" spans="3:9" x14ac:dyDescent="0.3">
      <c r="C844">
        <v>820</v>
      </c>
      <c r="D844">
        <v>3801.95</v>
      </c>
      <c r="E844" t="s">
        <v>649</v>
      </c>
      <c r="F844">
        <v>5649.76</v>
      </c>
      <c r="G844" t="s">
        <v>649</v>
      </c>
      <c r="H844">
        <v>4787.1400000000003</v>
      </c>
      <c r="I844" t="s">
        <v>649</v>
      </c>
    </row>
    <row r="845" spans="3:9" x14ac:dyDescent="0.3">
      <c r="C845">
        <v>821</v>
      </c>
      <c r="D845">
        <v>4540.6499999999996</v>
      </c>
      <c r="E845" t="s">
        <v>649</v>
      </c>
      <c r="F845">
        <v>3894.76</v>
      </c>
      <c r="G845" t="s">
        <v>649</v>
      </c>
      <c r="H845">
        <v>3807</v>
      </c>
      <c r="I845" t="s">
        <v>649</v>
      </c>
    </row>
    <row r="846" spans="3:9" x14ac:dyDescent="0.3">
      <c r="C846">
        <v>822</v>
      </c>
      <c r="D846">
        <v>3931.12</v>
      </c>
      <c r="E846" t="s">
        <v>649</v>
      </c>
      <c r="F846">
        <v>4431.2</v>
      </c>
      <c r="G846" t="s">
        <v>649</v>
      </c>
      <c r="H846">
        <v>4882.76</v>
      </c>
      <c r="I846" t="s">
        <v>649</v>
      </c>
    </row>
    <row r="847" spans="3:9" x14ac:dyDescent="0.3">
      <c r="C847">
        <v>823</v>
      </c>
      <c r="D847">
        <v>4289.66</v>
      </c>
      <c r="E847" t="s">
        <v>649</v>
      </c>
      <c r="F847">
        <v>2996.25</v>
      </c>
      <c r="G847" t="s">
        <v>649</v>
      </c>
      <c r="H847">
        <v>2333.9699999999998</v>
      </c>
      <c r="I847" t="s">
        <v>649</v>
      </c>
    </row>
    <row r="848" spans="3:9" x14ac:dyDescent="0.3">
      <c r="C848">
        <v>824</v>
      </c>
      <c r="D848">
        <v>3964.96</v>
      </c>
      <c r="E848" t="s">
        <v>649</v>
      </c>
      <c r="F848">
        <v>3862.31</v>
      </c>
      <c r="G848" t="s">
        <v>649</v>
      </c>
      <c r="H848">
        <v>3878.73</v>
      </c>
      <c r="I848" t="s">
        <v>649</v>
      </c>
    </row>
    <row r="849" spans="3:9" x14ac:dyDescent="0.3">
      <c r="C849">
        <v>825</v>
      </c>
      <c r="D849">
        <v>2301.98</v>
      </c>
      <c r="E849" t="s">
        <v>649</v>
      </c>
      <c r="F849">
        <v>4549.01</v>
      </c>
      <c r="G849" t="s">
        <v>649</v>
      </c>
      <c r="H849">
        <v>3852.7</v>
      </c>
      <c r="I849" t="s">
        <v>649</v>
      </c>
    </row>
    <row r="850" spans="3:9" x14ac:dyDescent="0.3">
      <c r="C850">
        <v>826</v>
      </c>
      <c r="D850">
        <v>6575.7</v>
      </c>
      <c r="E850" t="s">
        <v>649</v>
      </c>
      <c r="F850">
        <v>3992.13</v>
      </c>
      <c r="G850" t="s">
        <v>649</v>
      </c>
      <c r="H850">
        <v>3723.62</v>
      </c>
      <c r="I850" t="s">
        <v>649</v>
      </c>
    </row>
    <row r="851" spans="3:9" x14ac:dyDescent="0.3">
      <c r="C851">
        <v>827</v>
      </c>
      <c r="D851">
        <v>5858.81</v>
      </c>
      <c r="E851" t="s">
        <v>649</v>
      </c>
      <c r="F851">
        <v>5380.78</v>
      </c>
      <c r="G851" t="s">
        <v>649</v>
      </c>
      <c r="H851">
        <v>4585.4399999999996</v>
      </c>
      <c r="I851" t="s">
        <v>649</v>
      </c>
    </row>
    <row r="852" spans="3:9" x14ac:dyDescent="0.3">
      <c r="C852">
        <v>828</v>
      </c>
      <c r="D852">
        <v>4273.67</v>
      </c>
      <c r="E852" t="s">
        <v>649</v>
      </c>
      <c r="F852">
        <v>5207.03</v>
      </c>
      <c r="G852" t="s">
        <v>649</v>
      </c>
      <c r="H852">
        <v>4535.6099999999997</v>
      </c>
      <c r="I852" t="s">
        <v>649</v>
      </c>
    </row>
    <row r="853" spans="3:9" x14ac:dyDescent="0.3">
      <c r="C853">
        <v>829</v>
      </c>
      <c r="D853">
        <v>4231.43</v>
      </c>
      <c r="E853" t="s">
        <v>649</v>
      </c>
      <c r="F853">
        <v>4567.18</v>
      </c>
      <c r="G853" t="s">
        <v>649</v>
      </c>
      <c r="H853">
        <v>3850.86</v>
      </c>
      <c r="I853" t="s">
        <v>649</v>
      </c>
    </row>
    <row r="854" spans="3:9" x14ac:dyDescent="0.3">
      <c r="C854">
        <v>830</v>
      </c>
      <c r="D854">
        <v>5472.82</v>
      </c>
      <c r="E854" t="s">
        <v>649</v>
      </c>
      <c r="F854">
        <v>3608.29</v>
      </c>
      <c r="G854" t="s">
        <v>649</v>
      </c>
      <c r="H854">
        <v>5592.53</v>
      </c>
      <c r="I854" t="s">
        <v>649</v>
      </c>
    </row>
    <row r="855" spans="3:9" x14ac:dyDescent="0.3">
      <c r="C855">
        <v>831</v>
      </c>
      <c r="D855">
        <v>2090.52</v>
      </c>
      <c r="E855" t="s">
        <v>649</v>
      </c>
      <c r="F855">
        <v>3246.22</v>
      </c>
      <c r="G855" t="s">
        <v>649</v>
      </c>
      <c r="H855">
        <v>3802.08</v>
      </c>
      <c r="I855" t="s">
        <v>649</v>
      </c>
    </row>
    <row r="856" spans="3:9" x14ac:dyDescent="0.3">
      <c r="C856">
        <v>832</v>
      </c>
      <c r="D856">
        <v>4096.17</v>
      </c>
      <c r="E856" t="s">
        <v>649</v>
      </c>
      <c r="F856">
        <v>3207.6</v>
      </c>
      <c r="G856" t="s">
        <v>649</v>
      </c>
      <c r="H856">
        <v>5149.75</v>
      </c>
      <c r="I856" t="s">
        <v>649</v>
      </c>
    </row>
    <row r="857" spans="3:9" x14ac:dyDescent="0.3">
      <c r="C857">
        <v>833</v>
      </c>
      <c r="D857">
        <v>3914.59</v>
      </c>
      <c r="E857" t="s">
        <v>649</v>
      </c>
      <c r="F857">
        <v>3776.37</v>
      </c>
      <c r="G857" t="s">
        <v>649</v>
      </c>
      <c r="H857">
        <v>5792.48</v>
      </c>
      <c r="I857" t="s">
        <v>649</v>
      </c>
    </row>
    <row r="858" spans="3:9" x14ac:dyDescent="0.3">
      <c r="C858">
        <v>834</v>
      </c>
      <c r="D858">
        <v>3366.84</v>
      </c>
      <c r="E858" t="s">
        <v>649</v>
      </c>
      <c r="F858">
        <v>4139.9799999999996</v>
      </c>
      <c r="G858" t="s">
        <v>649</v>
      </c>
      <c r="H858">
        <v>4922.2</v>
      </c>
      <c r="I858" t="s">
        <v>649</v>
      </c>
    </row>
    <row r="859" spans="3:9" x14ac:dyDescent="0.3">
      <c r="C859">
        <v>835</v>
      </c>
      <c r="D859">
        <v>4359.1000000000004</v>
      </c>
      <c r="E859" t="s">
        <v>649</v>
      </c>
      <c r="F859">
        <v>4726.42</v>
      </c>
      <c r="G859" t="s">
        <v>649</v>
      </c>
      <c r="H859">
        <v>4390.08</v>
      </c>
      <c r="I859" t="s">
        <v>649</v>
      </c>
    </row>
    <row r="860" spans="3:9" x14ac:dyDescent="0.3">
      <c r="C860">
        <v>836</v>
      </c>
      <c r="D860">
        <v>4677.8500000000004</v>
      </c>
      <c r="E860" t="s">
        <v>649</v>
      </c>
      <c r="F860">
        <v>1421.07</v>
      </c>
      <c r="G860" t="s">
        <v>649</v>
      </c>
      <c r="H860">
        <v>4832</v>
      </c>
      <c r="I860" t="s">
        <v>649</v>
      </c>
    </row>
    <row r="861" spans="3:9" x14ac:dyDescent="0.3">
      <c r="C861">
        <v>837</v>
      </c>
      <c r="D861">
        <v>4252.25</v>
      </c>
      <c r="E861" t="s">
        <v>649</v>
      </c>
      <c r="F861">
        <v>2614.3200000000002</v>
      </c>
      <c r="G861" t="s">
        <v>649</v>
      </c>
      <c r="H861">
        <v>3949.23</v>
      </c>
      <c r="I861" t="s">
        <v>649</v>
      </c>
    </row>
    <row r="862" spans="3:9" x14ac:dyDescent="0.3">
      <c r="C862">
        <v>838</v>
      </c>
      <c r="D862">
        <v>4158.51</v>
      </c>
      <c r="E862" t="s">
        <v>649</v>
      </c>
      <c r="F862">
        <v>3813.37</v>
      </c>
      <c r="G862" t="s">
        <v>649</v>
      </c>
      <c r="H862">
        <v>4456.49</v>
      </c>
      <c r="I862" t="s">
        <v>649</v>
      </c>
    </row>
    <row r="863" spans="3:9" x14ac:dyDescent="0.3">
      <c r="C863">
        <v>839</v>
      </c>
      <c r="D863">
        <v>4172.9399999999996</v>
      </c>
      <c r="E863" t="s">
        <v>649</v>
      </c>
      <c r="F863">
        <v>3506.37</v>
      </c>
      <c r="G863" t="s">
        <v>649</v>
      </c>
      <c r="H863">
        <v>4090.85</v>
      </c>
      <c r="I863" t="s">
        <v>649</v>
      </c>
    </row>
    <row r="864" spans="3:9" x14ac:dyDescent="0.3">
      <c r="C864">
        <v>840</v>
      </c>
      <c r="D864">
        <v>4044.49</v>
      </c>
      <c r="E864" t="s">
        <v>649</v>
      </c>
      <c r="F864">
        <v>4549.33</v>
      </c>
      <c r="G864" t="s">
        <v>649</v>
      </c>
      <c r="H864">
        <v>4867.3100000000004</v>
      </c>
      <c r="I864" t="s">
        <v>649</v>
      </c>
    </row>
    <row r="865" spans="3:9" x14ac:dyDescent="0.3">
      <c r="C865">
        <v>841</v>
      </c>
      <c r="D865">
        <v>4513.1000000000004</v>
      </c>
      <c r="E865" t="s">
        <v>649</v>
      </c>
      <c r="F865">
        <v>3913.9</v>
      </c>
      <c r="G865" t="s">
        <v>649</v>
      </c>
      <c r="H865">
        <v>3659.99</v>
      </c>
      <c r="I865" t="s">
        <v>649</v>
      </c>
    </row>
    <row r="866" spans="3:9" x14ac:dyDescent="0.3">
      <c r="C866">
        <v>842</v>
      </c>
      <c r="D866">
        <v>4671.5200000000004</v>
      </c>
      <c r="E866" t="s">
        <v>649</v>
      </c>
      <c r="F866">
        <v>5030.6000000000004</v>
      </c>
      <c r="G866" t="s">
        <v>649</v>
      </c>
      <c r="H866">
        <v>4212.17</v>
      </c>
      <c r="I866" t="s">
        <v>649</v>
      </c>
    </row>
    <row r="867" spans="3:9" x14ac:dyDescent="0.3">
      <c r="C867">
        <v>843</v>
      </c>
      <c r="D867">
        <v>5764</v>
      </c>
      <c r="E867" t="s">
        <v>649</v>
      </c>
      <c r="F867">
        <v>4604.58</v>
      </c>
      <c r="G867" t="s">
        <v>649</v>
      </c>
      <c r="H867">
        <v>5143.28</v>
      </c>
      <c r="I867" t="s">
        <v>649</v>
      </c>
    </row>
    <row r="868" spans="3:9" x14ac:dyDescent="0.3">
      <c r="C868">
        <v>844</v>
      </c>
      <c r="D868">
        <v>4852.0600000000004</v>
      </c>
      <c r="E868" t="s">
        <v>649</v>
      </c>
      <c r="F868">
        <v>5718.87</v>
      </c>
      <c r="G868" t="s">
        <v>649</v>
      </c>
      <c r="H868">
        <v>5176.13</v>
      </c>
      <c r="I868" t="s">
        <v>649</v>
      </c>
    </row>
    <row r="869" spans="3:9" x14ac:dyDescent="0.3">
      <c r="C869">
        <v>845</v>
      </c>
      <c r="D869">
        <v>4927</v>
      </c>
      <c r="E869" t="s">
        <v>649</v>
      </c>
      <c r="F869">
        <v>4168.75</v>
      </c>
      <c r="G869" t="s">
        <v>649</v>
      </c>
      <c r="H869">
        <v>6066.82</v>
      </c>
      <c r="I869" t="s">
        <v>649</v>
      </c>
    </row>
    <row r="870" spans="3:9" x14ac:dyDescent="0.3">
      <c r="C870">
        <v>846</v>
      </c>
      <c r="D870">
        <v>3342.46</v>
      </c>
      <c r="E870" t="s">
        <v>649</v>
      </c>
      <c r="F870">
        <v>4036.97</v>
      </c>
      <c r="G870" t="s">
        <v>649</v>
      </c>
      <c r="H870">
        <v>3171.95</v>
      </c>
      <c r="I870" t="s">
        <v>649</v>
      </c>
    </row>
    <row r="871" spans="3:9" x14ac:dyDescent="0.3">
      <c r="C871">
        <v>847</v>
      </c>
      <c r="D871">
        <v>4408.16</v>
      </c>
      <c r="E871" t="s">
        <v>649</v>
      </c>
      <c r="F871">
        <v>4527.67</v>
      </c>
      <c r="G871" t="s">
        <v>649</v>
      </c>
      <c r="H871">
        <v>3591.11</v>
      </c>
      <c r="I871" t="s">
        <v>649</v>
      </c>
    </row>
    <row r="872" spans="3:9" x14ac:dyDescent="0.3">
      <c r="C872">
        <v>848</v>
      </c>
      <c r="D872">
        <v>4235.41</v>
      </c>
      <c r="E872" t="s">
        <v>649</v>
      </c>
      <c r="F872">
        <v>3189.45</v>
      </c>
      <c r="G872" t="s">
        <v>649</v>
      </c>
      <c r="H872">
        <v>3861.02</v>
      </c>
      <c r="I872" t="s">
        <v>649</v>
      </c>
    </row>
    <row r="873" spans="3:9" x14ac:dyDescent="0.3">
      <c r="C873">
        <v>849</v>
      </c>
      <c r="D873">
        <v>2874.57</v>
      </c>
      <c r="E873" t="s">
        <v>649</v>
      </c>
      <c r="F873">
        <v>4871.62</v>
      </c>
      <c r="G873" t="s">
        <v>649</v>
      </c>
      <c r="H873">
        <v>4320.18</v>
      </c>
      <c r="I873" t="s">
        <v>649</v>
      </c>
    </row>
    <row r="874" spans="3:9" x14ac:dyDescent="0.3">
      <c r="C874">
        <v>850</v>
      </c>
      <c r="D874">
        <v>3489.45</v>
      </c>
      <c r="E874" t="s">
        <v>649</v>
      </c>
      <c r="F874">
        <v>7816.16</v>
      </c>
      <c r="G874" t="s">
        <v>649</v>
      </c>
      <c r="H874">
        <v>4470.76</v>
      </c>
      <c r="I874" t="s">
        <v>649</v>
      </c>
    </row>
    <row r="875" spans="3:9" x14ac:dyDescent="0.3">
      <c r="C875">
        <v>851</v>
      </c>
      <c r="D875">
        <v>2572.15</v>
      </c>
      <c r="E875" t="s">
        <v>649</v>
      </c>
      <c r="F875">
        <v>3863.71</v>
      </c>
      <c r="G875" t="s">
        <v>649</v>
      </c>
      <c r="H875">
        <v>5857.34</v>
      </c>
      <c r="I875" t="s">
        <v>649</v>
      </c>
    </row>
    <row r="876" spans="3:9" x14ac:dyDescent="0.3">
      <c r="C876">
        <v>852</v>
      </c>
      <c r="D876">
        <v>2285.87</v>
      </c>
      <c r="E876" t="s">
        <v>649</v>
      </c>
      <c r="F876">
        <v>5056.3100000000004</v>
      </c>
      <c r="G876" t="s">
        <v>649</v>
      </c>
      <c r="H876">
        <v>3731.43</v>
      </c>
      <c r="I876" t="s">
        <v>649</v>
      </c>
    </row>
    <row r="877" spans="3:9" x14ac:dyDescent="0.3">
      <c r="C877">
        <v>853</v>
      </c>
      <c r="D877">
        <v>4807.34</v>
      </c>
      <c r="E877" t="s">
        <v>649</v>
      </c>
      <c r="F877">
        <v>4733.3999999999996</v>
      </c>
      <c r="G877" t="s">
        <v>649</v>
      </c>
      <c r="H877">
        <v>4260.8999999999996</v>
      </c>
      <c r="I877" t="s">
        <v>649</v>
      </c>
    </row>
    <row r="878" spans="3:9" x14ac:dyDescent="0.3">
      <c r="C878">
        <v>854</v>
      </c>
      <c r="D878">
        <v>4822.29</v>
      </c>
      <c r="E878" t="s">
        <v>649</v>
      </c>
      <c r="F878">
        <v>4918.16</v>
      </c>
      <c r="G878" t="s">
        <v>649</v>
      </c>
      <c r="H878">
        <v>5156.8999999999996</v>
      </c>
      <c r="I878" t="s">
        <v>649</v>
      </c>
    </row>
    <row r="879" spans="3:9" x14ac:dyDescent="0.3">
      <c r="C879">
        <v>855</v>
      </c>
      <c r="D879">
        <v>3566.08</v>
      </c>
      <c r="E879" t="s">
        <v>649</v>
      </c>
      <c r="F879">
        <v>4897.28</v>
      </c>
      <c r="G879" t="s">
        <v>649</v>
      </c>
      <c r="H879">
        <v>5552.54</v>
      </c>
      <c r="I879" t="s">
        <v>649</v>
      </c>
    </row>
    <row r="880" spans="3:9" x14ac:dyDescent="0.3">
      <c r="C880">
        <v>856</v>
      </c>
      <c r="D880">
        <v>4055.55</v>
      </c>
      <c r="E880" t="s">
        <v>649</v>
      </c>
      <c r="F880">
        <v>4274.8999999999996</v>
      </c>
      <c r="G880" t="s">
        <v>649</v>
      </c>
      <c r="H880">
        <v>2757.47</v>
      </c>
      <c r="I880" t="s">
        <v>649</v>
      </c>
    </row>
    <row r="881" spans="3:9" x14ac:dyDescent="0.3">
      <c r="C881">
        <v>857</v>
      </c>
      <c r="D881">
        <v>4343.78</v>
      </c>
      <c r="E881" t="s">
        <v>649</v>
      </c>
      <c r="F881">
        <v>6048.52</v>
      </c>
      <c r="G881" t="s">
        <v>649</v>
      </c>
      <c r="H881">
        <v>4961.9399999999996</v>
      </c>
      <c r="I881" t="s">
        <v>649</v>
      </c>
    </row>
    <row r="882" spans="3:9" x14ac:dyDescent="0.3">
      <c r="C882">
        <v>858</v>
      </c>
      <c r="D882">
        <v>5185.26</v>
      </c>
      <c r="E882" t="s">
        <v>649</v>
      </c>
      <c r="F882">
        <v>2629.67</v>
      </c>
      <c r="G882" t="s">
        <v>649</v>
      </c>
      <c r="H882">
        <v>4448.3599999999997</v>
      </c>
      <c r="I882" t="s">
        <v>649</v>
      </c>
    </row>
    <row r="883" spans="3:9" x14ac:dyDescent="0.3">
      <c r="C883">
        <v>859</v>
      </c>
      <c r="D883">
        <v>4217.88</v>
      </c>
      <c r="E883" t="s">
        <v>649</v>
      </c>
      <c r="F883">
        <v>4453.22</v>
      </c>
      <c r="G883" t="s">
        <v>649</v>
      </c>
      <c r="H883">
        <v>2916.75</v>
      </c>
      <c r="I883" t="s">
        <v>649</v>
      </c>
    </row>
    <row r="884" spans="3:9" x14ac:dyDescent="0.3">
      <c r="C884">
        <v>860</v>
      </c>
      <c r="D884">
        <v>4139.6400000000003</v>
      </c>
      <c r="E884" t="s">
        <v>649</v>
      </c>
      <c r="F884">
        <v>5885.2</v>
      </c>
      <c r="G884" t="s">
        <v>649</v>
      </c>
      <c r="H884">
        <v>5105.93</v>
      </c>
      <c r="I884" t="s">
        <v>649</v>
      </c>
    </row>
    <row r="885" spans="3:9" x14ac:dyDescent="0.3">
      <c r="C885">
        <v>861</v>
      </c>
      <c r="D885">
        <v>6342.33</v>
      </c>
      <c r="E885" t="s">
        <v>649</v>
      </c>
      <c r="F885">
        <v>5189.41</v>
      </c>
      <c r="G885" t="s">
        <v>649</v>
      </c>
      <c r="H885">
        <v>5186.9799999999996</v>
      </c>
      <c r="I885" t="s">
        <v>649</v>
      </c>
    </row>
    <row r="886" spans="3:9" x14ac:dyDescent="0.3">
      <c r="C886">
        <v>862</v>
      </c>
      <c r="D886">
        <v>4369.2700000000004</v>
      </c>
      <c r="E886" t="s">
        <v>649</v>
      </c>
      <c r="F886">
        <v>5040.5600000000004</v>
      </c>
      <c r="G886" t="s">
        <v>649</v>
      </c>
      <c r="H886">
        <v>5814.29</v>
      </c>
      <c r="I886" t="s">
        <v>649</v>
      </c>
    </row>
    <row r="887" spans="3:9" x14ac:dyDescent="0.3">
      <c r="C887">
        <v>863</v>
      </c>
      <c r="D887">
        <v>4461.9399999999996</v>
      </c>
      <c r="E887" t="s">
        <v>649</v>
      </c>
      <c r="F887">
        <v>6928.98</v>
      </c>
      <c r="G887" t="s">
        <v>649</v>
      </c>
      <c r="H887">
        <v>3904.36</v>
      </c>
      <c r="I887" t="s">
        <v>649</v>
      </c>
    </row>
    <row r="888" spans="3:9" x14ac:dyDescent="0.3">
      <c r="C888">
        <v>864</v>
      </c>
      <c r="D888">
        <v>3375.88</v>
      </c>
      <c r="E888" t="s">
        <v>649</v>
      </c>
      <c r="F888">
        <v>5314.7</v>
      </c>
      <c r="G888" t="s">
        <v>649</v>
      </c>
      <c r="H888">
        <v>6256.74</v>
      </c>
      <c r="I888" t="s">
        <v>649</v>
      </c>
    </row>
    <row r="889" spans="3:9" x14ac:dyDescent="0.3">
      <c r="C889">
        <v>865</v>
      </c>
      <c r="D889">
        <v>4058.59</v>
      </c>
      <c r="E889" t="s">
        <v>649</v>
      </c>
      <c r="F889">
        <v>2667.88</v>
      </c>
      <c r="G889" t="s">
        <v>649</v>
      </c>
      <c r="H889">
        <v>3452.04</v>
      </c>
      <c r="I889" t="s">
        <v>649</v>
      </c>
    </row>
    <row r="890" spans="3:9" x14ac:dyDescent="0.3">
      <c r="C890">
        <v>866</v>
      </c>
      <c r="D890">
        <v>3021.69</v>
      </c>
      <c r="E890" t="s">
        <v>649</v>
      </c>
      <c r="F890">
        <v>3824.51</v>
      </c>
      <c r="G890" t="s">
        <v>649</v>
      </c>
      <c r="H890">
        <v>4971.1499999999996</v>
      </c>
      <c r="I890" t="s">
        <v>649</v>
      </c>
    </row>
    <row r="891" spans="3:9" x14ac:dyDescent="0.3">
      <c r="C891">
        <v>867</v>
      </c>
      <c r="D891">
        <v>5311.58</v>
      </c>
      <c r="E891" t="s">
        <v>649</v>
      </c>
      <c r="F891">
        <v>4817.12</v>
      </c>
      <c r="G891" t="s">
        <v>649</v>
      </c>
      <c r="H891">
        <v>4467.6899999999996</v>
      </c>
      <c r="I891" t="s">
        <v>649</v>
      </c>
    </row>
    <row r="892" spans="3:9" x14ac:dyDescent="0.3">
      <c r="C892">
        <v>868</v>
      </c>
      <c r="D892">
        <v>7341.23</v>
      </c>
      <c r="E892" t="s">
        <v>649</v>
      </c>
      <c r="F892">
        <v>5250.51</v>
      </c>
      <c r="G892" t="s">
        <v>649</v>
      </c>
      <c r="H892">
        <v>4604.16</v>
      </c>
      <c r="I892" t="s">
        <v>649</v>
      </c>
    </row>
    <row r="893" spans="3:9" x14ac:dyDescent="0.3">
      <c r="C893">
        <v>869</v>
      </c>
      <c r="D893">
        <v>5003.04</v>
      </c>
      <c r="E893" t="s">
        <v>649</v>
      </c>
      <c r="F893">
        <v>5912.04</v>
      </c>
      <c r="G893" t="s">
        <v>649</v>
      </c>
      <c r="H893">
        <v>5522.9</v>
      </c>
      <c r="I893" t="s">
        <v>649</v>
      </c>
    </row>
    <row r="894" spans="3:9" x14ac:dyDescent="0.3">
      <c r="C894">
        <v>870</v>
      </c>
      <c r="D894">
        <v>4367.04</v>
      </c>
      <c r="E894" t="s">
        <v>649</v>
      </c>
      <c r="F894">
        <v>3163.91</v>
      </c>
      <c r="G894" t="s">
        <v>649</v>
      </c>
      <c r="H894">
        <v>4945.1000000000004</v>
      </c>
      <c r="I894" t="s">
        <v>649</v>
      </c>
    </row>
    <row r="895" spans="3:9" x14ac:dyDescent="0.3">
      <c r="C895">
        <v>871</v>
      </c>
      <c r="D895">
        <v>3530.54</v>
      </c>
      <c r="E895" t="s">
        <v>649</v>
      </c>
      <c r="F895">
        <v>6043.34</v>
      </c>
      <c r="G895" t="s">
        <v>649</v>
      </c>
      <c r="H895">
        <v>5147.24</v>
      </c>
      <c r="I895" t="s">
        <v>649</v>
      </c>
    </row>
    <row r="896" spans="3:9" x14ac:dyDescent="0.3">
      <c r="C896">
        <v>872</v>
      </c>
      <c r="D896">
        <v>3750.58</v>
      </c>
      <c r="E896" t="s">
        <v>649</v>
      </c>
      <c r="F896">
        <v>4599.76</v>
      </c>
      <c r="G896" t="s">
        <v>649</v>
      </c>
      <c r="H896">
        <v>5959.65</v>
      </c>
      <c r="I896" t="s">
        <v>649</v>
      </c>
    </row>
    <row r="897" spans="3:9" x14ac:dyDescent="0.3">
      <c r="C897">
        <v>873</v>
      </c>
      <c r="D897">
        <v>5053.1899999999996</v>
      </c>
      <c r="E897" t="s">
        <v>649</v>
      </c>
      <c r="F897">
        <v>4329.95</v>
      </c>
      <c r="G897" t="s">
        <v>649</v>
      </c>
      <c r="H897">
        <v>5164.66</v>
      </c>
      <c r="I897" t="s">
        <v>649</v>
      </c>
    </row>
    <row r="898" spans="3:9" x14ac:dyDescent="0.3">
      <c r="C898">
        <v>874</v>
      </c>
      <c r="D898">
        <v>5056.3999999999996</v>
      </c>
      <c r="E898" t="s">
        <v>649</v>
      </c>
      <c r="F898">
        <v>4333.88</v>
      </c>
      <c r="G898" t="s">
        <v>649</v>
      </c>
      <c r="H898">
        <v>6021.27</v>
      </c>
      <c r="I898" t="s">
        <v>649</v>
      </c>
    </row>
    <row r="899" spans="3:9" x14ac:dyDescent="0.3">
      <c r="C899">
        <v>875</v>
      </c>
      <c r="D899">
        <v>4831.93</v>
      </c>
      <c r="E899" t="s">
        <v>649</v>
      </c>
      <c r="F899">
        <v>4584.3999999999996</v>
      </c>
      <c r="G899" t="s">
        <v>649</v>
      </c>
      <c r="H899">
        <v>6991.88</v>
      </c>
      <c r="I899" t="s">
        <v>649</v>
      </c>
    </row>
    <row r="900" spans="3:9" x14ac:dyDescent="0.3">
      <c r="C900">
        <v>876</v>
      </c>
      <c r="D900">
        <v>3682.77</v>
      </c>
      <c r="E900" t="s">
        <v>649</v>
      </c>
      <c r="F900">
        <v>3743.42</v>
      </c>
      <c r="G900" t="s">
        <v>649</v>
      </c>
      <c r="H900">
        <v>3568.38</v>
      </c>
      <c r="I900" t="s">
        <v>649</v>
      </c>
    </row>
    <row r="901" spans="3:9" x14ac:dyDescent="0.3">
      <c r="C901">
        <v>877</v>
      </c>
      <c r="D901">
        <v>3456.68</v>
      </c>
      <c r="E901" t="s">
        <v>649</v>
      </c>
      <c r="F901">
        <v>4599.88</v>
      </c>
      <c r="G901" t="s">
        <v>649</v>
      </c>
      <c r="H901">
        <v>3530.94</v>
      </c>
      <c r="I901" t="s">
        <v>649</v>
      </c>
    </row>
    <row r="902" spans="3:9" x14ac:dyDescent="0.3">
      <c r="C902">
        <v>878</v>
      </c>
      <c r="D902">
        <v>3225.38</v>
      </c>
      <c r="E902" t="s">
        <v>649</v>
      </c>
      <c r="F902">
        <v>2869.4</v>
      </c>
      <c r="G902" t="s">
        <v>649</v>
      </c>
      <c r="H902">
        <v>4176.92</v>
      </c>
      <c r="I902" t="s">
        <v>649</v>
      </c>
    </row>
    <row r="903" spans="3:9" x14ac:dyDescent="0.3">
      <c r="C903">
        <v>879</v>
      </c>
      <c r="D903">
        <v>4067.21</v>
      </c>
      <c r="E903" t="s">
        <v>649</v>
      </c>
      <c r="F903">
        <v>1443.49</v>
      </c>
      <c r="G903" t="s">
        <v>649</v>
      </c>
      <c r="H903">
        <v>4748.51</v>
      </c>
      <c r="I903" t="s">
        <v>649</v>
      </c>
    </row>
    <row r="904" spans="3:9" x14ac:dyDescent="0.3">
      <c r="C904">
        <v>880</v>
      </c>
      <c r="D904">
        <v>2706.85</v>
      </c>
      <c r="E904" t="s">
        <v>649</v>
      </c>
      <c r="F904">
        <v>4151.1400000000003</v>
      </c>
      <c r="G904" t="s">
        <v>649</v>
      </c>
      <c r="H904">
        <v>3979.55</v>
      </c>
      <c r="I904" t="s">
        <v>649</v>
      </c>
    </row>
    <row r="905" spans="3:9" x14ac:dyDescent="0.3">
      <c r="C905">
        <v>881</v>
      </c>
      <c r="D905">
        <v>3227.48</v>
      </c>
      <c r="E905" t="s">
        <v>649</v>
      </c>
      <c r="F905">
        <v>4599.63</v>
      </c>
      <c r="G905" t="s">
        <v>649</v>
      </c>
      <c r="H905">
        <v>5230.3599999999997</v>
      </c>
      <c r="I905" t="s">
        <v>649</v>
      </c>
    </row>
    <row r="906" spans="3:9" x14ac:dyDescent="0.3">
      <c r="C906">
        <v>882</v>
      </c>
      <c r="D906">
        <v>3930.06</v>
      </c>
      <c r="E906" t="s">
        <v>649</v>
      </c>
      <c r="F906">
        <v>5175.7</v>
      </c>
      <c r="G906" t="s">
        <v>649</v>
      </c>
      <c r="H906">
        <v>3661</v>
      </c>
      <c r="I906" t="s">
        <v>649</v>
      </c>
    </row>
    <row r="907" spans="3:9" x14ac:dyDescent="0.3">
      <c r="C907">
        <v>883</v>
      </c>
      <c r="D907">
        <v>5680.78</v>
      </c>
      <c r="E907" t="s">
        <v>649</v>
      </c>
      <c r="F907">
        <v>5816.92</v>
      </c>
      <c r="G907" t="s">
        <v>649</v>
      </c>
      <c r="H907">
        <v>4261.37</v>
      </c>
      <c r="I907" t="s">
        <v>649</v>
      </c>
    </row>
    <row r="908" spans="3:9" x14ac:dyDescent="0.3">
      <c r="C908">
        <v>884</v>
      </c>
      <c r="D908">
        <v>6063.78</v>
      </c>
      <c r="E908" t="s">
        <v>649</v>
      </c>
      <c r="F908">
        <v>3034.34</v>
      </c>
      <c r="G908" t="s">
        <v>649</v>
      </c>
      <c r="H908">
        <v>4054.18</v>
      </c>
      <c r="I908" t="s">
        <v>649</v>
      </c>
    </row>
    <row r="909" spans="3:9" x14ac:dyDescent="0.3">
      <c r="C909">
        <v>885</v>
      </c>
      <c r="D909">
        <v>2611.6999999999998</v>
      </c>
      <c r="E909" t="s">
        <v>649</v>
      </c>
      <c r="F909">
        <v>4788.28</v>
      </c>
      <c r="G909" t="s">
        <v>649</v>
      </c>
      <c r="H909">
        <v>3301.31</v>
      </c>
      <c r="I909" t="s">
        <v>649</v>
      </c>
    </row>
    <row r="910" spans="3:9" x14ac:dyDescent="0.3">
      <c r="C910">
        <v>886</v>
      </c>
      <c r="D910">
        <v>6460.44</v>
      </c>
      <c r="E910" t="s">
        <v>649</v>
      </c>
      <c r="F910">
        <v>4427.9799999999996</v>
      </c>
      <c r="G910" t="s">
        <v>649</v>
      </c>
      <c r="H910">
        <v>5479.14</v>
      </c>
      <c r="I910" t="s">
        <v>649</v>
      </c>
    </row>
    <row r="911" spans="3:9" x14ac:dyDescent="0.3">
      <c r="C911">
        <v>887</v>
      </c>
      <c r="D911">
        <v>4019.82</v>
      </c>
      <c r="E911" t="s">
        <v>649</v>
      </c>
      <c r="F911">
        <v>4417.3900000000003</v>
      </c>
      <c r="G911" t="s">
        <v>649</v>
      </c>
      <c r="H911">
        <v>2925.25</v>
      </c>
      <c r="I911" t="s">
        <v>649</v>
      </c>
    </row>
    <row r="912" spans="3:9" x14ac:dyDescent="0.3">
      <c r="C912">
        <v>888</v>
      </c>
      <c r="D912">
        <v>4435.66</v>
      </c>
      <c r="E912" t="s">
        <v>649</v>
      </c>
      <c r="F912">
        <v>3770.95</v>
      </c>
      <c r="G912" t="s">
        <v>649</v>
      </c>
      <c r="H912">
        <v>2985.18</v>
      </c>
      <c r="I912" t="s">
        <v>649</v>
      </c>
    </row>
    <row r="913" spans="3:9" x14ac:dyDescent="0.3">
      <c r="C913">
        <v>889</v>
      </c>
      <c r="D913">
        <v>6000.26</v>
      </c>
      <c r="E913" t="s">
        <v>649</v>
      </c>
      <c r="F913">
        <v>4882.2700000000004</v>
      </c>
      <c r="G913" t="s">
        <v>649</v>
      </c>
      <c r="H913">
        <v>3139.16</v>
      </c>
      <c r="I913" t="s">
        <v>649</v>
      </c>
    </row>
    <row r="914" spans="3:9" x14ac:dyDescent="0.3">
      <c r="C914">
        <v>890</v>
      </c>
      <c r="D914">
        <v>4808.1499999999996</v>
      </c>
      <c r="E914" t="s">
        <v>649</v>
      </c>
      <c r="F914">
        <v>4400.88</v>
      </c>
      <c r="G914" t="s">
        <v>649</v>
      </c>
      <c r="H914">
        <v>3665.75</v>
      </c>
      <c r="I914" t="s">
        <v>649</v>
      </c>
    </row>
    <row r="915" spans="3:9" x14ac:dyDescent="0.3">
      <c r="C915">
        <v>891</v>
      </c>
      <c r="D915">
        <v>4727.18</v>
      </c>
      <c r="E915" t="s">
        <v>649</v>
      </c>
      <c r="F915">
        <v>5979.07</v>
      </c>
      <c r="G915" t="s">
        <v>649</v>
      </c>
      <c r="H915">
        <v>4673.8100000000004</v>
      </c>
      <c r="I915" t="s">
        <v>649</v>
      </c>
    </row>
    <row r="916" spans="3:9" x14ac:dyDescent="0.3">
      <c r="C916">
        <v>892</v>
      </c>
      <c r="D916">
        <v>6564.2</v>
      </c>
      <c r="E916" t="s">
        <v>649</v>
      </c>
      <c r="F916">
        <v>2765.02</v>
      </c>
      <c r="G916" t="s">
        <v>649</v>
      </c>
      <c r="H916">
        <v>4613.99</v>
      </c>
      <c r="I916" t="s">
        <v>649</v>
      </c>
    </row>
    <row r="917" spans="3:9" x14ac:dyDescent="0.3">
      <c r="C917">
        <v>893</v>
      </c>
      <c r="D917">
        <v>4485.16</v>
      </c>
      <c r="E917" t="s">
        <v>649</v>
      </c>
      <c r="F917">
        <v>3455.61</v>
      </c>
      <c r="G917" t="s">
        <v>649</v>
      </c>
      <c r="H917">
        <v>4204.17</v>
      </c>
      <c r="I917" t="s">
        <v>649</v>
      </c>
    </row>
    <row r="918" spans="3:9" x14ac:dyDescent="0.3">
      <c r="C918">
        <v>894</v>
      </c>
      <c r="D918">
        <v>5056.32</v>
      </c>
      <c r="E918" t="s">
        <v>649</v>
      </c>
      <c r="F918">
        <v>4607.42</v>
      </c>
      <c r="G918" t="s">
        <v>649</v>
      </c>
      <c r="H918">
        <v>4219.03</v>
      </c>
      <c r="I918" t="s">
        <v>649</v>
      </c>
    </row>
    <row r="919" spans="3:9" x14ac:dyDescent="0.3">
      <c r="C919">
        <v>895</v>
      </c>
      <c r="D919">
        <v>6080.87</v>
      </c>
      <c r="E919" t="s">
        <v>649</v>
      </c>
      <c r="F919">
        <v>6056.07</v>
      </c>
      <c r="G919" t="s">
        <v>649</v>
      </c>
      <c r="H919">
        <v>4848.82</v>
      </c>
      <c r="I919" t="s">
        <v>649</v>
      </c>
    </row>
    <row r="920" spans="3:9" x14ac:dyDescent="0.3">
      <c r="C920">
        <v>896</v>
      </c>
      <c r="D920">
        <v>3902.71</v>
      </c>
      <c r="E920" t="s">
        <v>649</v>
      </c>
      <c r="F920">
        <v>4280.8599999999997</v>
      </c>
      <c r="G920" t="s">
        <v>649</v>
      </c>
      <c r="H920">
        <v>5640.38</v>
      </c>
      <c r="I920" t="s">
        <v>649</v>
      </c>
    </row>
    <row r="921" spans="3:9" x14ac:dyDescent="0.3">
      <c r="C921">
        <v>897</v>
      </c>
      <c r="D921">
        <v>4065.52</v>
      </c>
      <c r="E921" t="s">
        <v>649</v>
      </c>
      <c r="F921">
        <v>5167.8599999999997</v>
      </c>
      <c r="G921" t="s">
        <v>649</v>
      </c>
      <c r="H921">
        <v>3506.53</v>
      </c>
      <c r="I921" t="s">
        <v>649</v>
      </c>
    </row>
    <row r="922" spans="3:9" x14ac:dyDescent="0.3">
      <c r="C922">
        <v>898</v>
      </c>
      <c r="D922">
        <v>3057.18</v>
      </c>
      <c r="E922" t="s">
        <v>649</v>
      </c>
      <c r="F922">
        <v>3428.06</v>
      </c>
      <c r="G922" t="s">
        <v>649</v>
      </c>
      <c r="H922">
        <v>5958.57</v>
      </c>
      <c r="I922" t="s">
        <v>649</v>
      </c>
    </row>
    <row r="923" spans="3:9" x14ac:dyDescent="0.3">
      <c r="C923">
        <v>899</v>
      </c>
      <c r="D923">
        <v>5687.79</v>
      </c>
      <c r="E923" t="s">
        <v>649</v>
      </c>
      <c r="F923">
        <v>4712.8900000000003</v>
      </c>
      <c r="G923" t="s">
        <v>649</v>
      </c>
      <c r="H923">
        <v>3869.72</v>
      </c>
      <c r="I923" t="s">
        <v>649</v>
      </c>
    </row>
    <row r="924" spans="3:9" x14ac:dyDescent="0.3">
      <c r="C924">
        <v>900</v>
      </c>
      <c r="D924">
        <v>3920.92</v>
      </c>
      <c r="E924" t="s">
        <v>649</v>
      </c>
      <c r="F924">
        <v>3099.74</v>
      </c>
      <c r="G924" t="s">
        <v>649</v>
      </c>
      <c r="H924">
        <v>4282.5200000000004</v>
      </c>
      <c r="I924" t="s">
        <v>649</v>
      </c>
    </row>
    <row r="925" spans="3:9" x14ac:dyDescent="0.3">
      <c r="C925">
        <v>901</v>
      </c>
      <c r="D925">
        <v>5288.41</v>
      </c>
      <c r="E925" t="s">
        <v>650</v>
      </c>
      <c r="F925">
        <v>3881.9</v>
      </c>
      <c r="G925" t="s">
        <v>649</v>
      </c>
      <c r="H925">
        <v>4384.8500000000004</v>
      </c>
      <c r="I925" t="s">
        <v>649</v>
      </c>
    </row>
    <row r="926" spans="3:9" x14ac:dyDescent="0.3">
      <c r="C926">
        <v>902</v>
      </c>
      <c r="D926">
        <v>6383.44</v>
      </c>
      <c r="E926" t="s">
        <v>650</v>
      </c>
      <c r="F926">
        <v>5164.84</v>
      </c>
      <c r="G926" t="s">
        <v>649</v>
      </c>
      <c r="H926">
        <v>3929.69</v>
      </c>
      <c r="I926" t="s">
        <v>649</v>
      </c>
    </row>
    <row r="927" spans="3:9" x14ac:dyDescent="0.3">
      <c r="C927">
        <v>903</v>
      </c>
      <c r="D927">
        <v>6072.66</v>
      </c>
      <c r="E927" t="s">
        <v>650</v>
      </c>
      <c r="F927">
        <v>4038.88</v>
      </c>
      <c r="G927" t="s">
        <v>649</v>
      </c>
      <c r="H927">
        <v>5753.34</v>
      </c>
      <c r="I927" t="s">
        <v>649</v>
      </c>
    </row>
    <row r="928" spans="3:9" x14ac:dyDescent="0.3">
      <c r="C928">
        <v>904</v>
      </c>
      <c r="D928">
        <v>5592.53</v>
      </c>
      <c r="E928" t="s">
        <v>650</v>
      </c>
      <c r="F928">
        <v>4620.96</v>
      </c>
      <c r="G928" t="s">
        <v>649</v>
      </c>
      <c r="H928">
        <v>6039.92</v>
      </c>
      <c r="I928" t="s">
        <v>649</v>
      </c>
    </row>
    <row r="929" spans="3:9" x14ac:dyDescent="0.3">
      <c r="C929">
        <v>905</v>
      </c>
      <c r="D929">
        <v>2917.9</v>
      </c>
      <c r="E929" t="s">
        <v>650</v>
      </c>
      <c r="F929">
        <v>3567.29</v>
      </c>
      <c r="G929" t="s">
        <v>649</v>
      </c>
      <c r="H929">
        <v>6459.88</v>
      </c>
      <c r="I929" t="s">
        <v>649</v>
      </c>
    </row>
    <row r="930" spans="3:9" x14ac:dyDescent="0.3">
      <c r="C930">
        <v>906</v>
      </c>
      <c r="D930">
        <v>2742.53</v>
      </c>
      <c r="E930" t="s">
        <v>650</v>
      </c>
      <c r="F930">
        <v>4250.3100000000004</v>
      </c>
      <c r="G930" t="s">
        <v>649</v>
      </c>
      <c r="H930">
        <v>5765.97</v>
      </c>
      <c r="I930" t="s">
        <v>649</v>
      </c>
    </row>
    <row r="931" spans="3:9" x14ac:dyDescent="0.3">
      <c r="C931">
        <v>907</v>
      </c>
      <c r="D931">
        <v>4676.28</v>
      </c>
      <c r="E931" t="s">
        <v>650</v>
      </c>
      <c r="F931">
        <v>3988.68</v>
      </c>
      <c r="G931" t="s">
        <v>649</v>
      </c>
      <c r="H931">
        <v>3653.47</v>
      </c>
      <c r="I931" t="s">
        <v>649</v>
      </c>
    </row>
    <row r="932" spans="3:9" x14ac:dyDescent="0.3">
      <c r="C932">
        <v>908</v>
      </c>
      <c r="D932">
        <v>4703.8999999999996</v>
      </c>
      <c r="E932" t="s">
        <v>650</v>
      </c>
      <c r="F932">
        <v>6087.41</v>
      </c>
      <c r="G932" t="s">
        <v>649</v>
      </c>
      <c r="H932">
        <v>5268.45</v>
      </c>
      <c r="I932" t="s">
        <v>649</v>
      </c>
    </row>
    <row r="933" spans="3:9" x14ac:dyDescent="0.3">
      <c r="C933">
        <v>909</v>
      </c>
      <c r="D933">
        <v>6329.42</v>
      </c>
      <c r="E933" t="s">
        <v>650</v>
      </c>
      <c r="F933">
        <v>5193.54</v>
      </c>
      <c r="G933" t="s">
        <v>649</v>
      </c>
      <c r="H933">
        <v>3798.88</v>
      </c>
      <c r="I933" t="s">
        <v>649</v>
      </c>
    </row>
    <row r="934" spans="3:9" x14ac:dyDescent="0.3">
      <c r="C934">
        <v>910</v>
      </c>
      <c r="D934">
        <v>4210.6899999999996</v>
      </c>
      <c r="E934" t="s">
        <v>650</v>
      </c>
      <c r="F934">
        <v>2849.15</v>
      </c>
      <c r="G934" t="s">
        <v>649</v>
      </c>
      <c r="H934">
        <v>4611.6000000000004</v>
      </c>
      <c r="I934" t="s">
        <v>649</v>
      </c>
    </row>
    <row r="935" spans="3:9" x14ac:dyDescent="0.3">
      <c r="C935">
        <v>911</v>
      </c>
      <c r="D935">
        <v>5040.54</v>
      </c>
      <c r="E935" t="s">
        <v>650</v>
      </c>
      <c r="F935">
        <v>4522.25</v>
      </c>
      <c r="G935" t="s">
        <v>649</v>
      </c>
      <c r="H935">
        <v>5659.59</v>
      </c>
      <c r="I935" t="s">
        <v>649</v>
      </c>
    </row>
    <row r="936" spans="3:9" x14ac:dyDescent="0.3">
      <c r="C936">
        <v>912</v>
      </c>
      <c r="D936">
        <v>3155.45</v>
      </c>
      <c r="E936" t="s">
        <v>650</v>
      </c>
      <c r="F936">
        <v>5142.74</v>
      </c>
      <c r="G936" t="s">
        <v>649</v>
      </c>
      <c r="H936">
        <v>3340.92</v>
      </c>
      <c r="I936" t="s">
        <v>649</v>
      </c>
    </row>
    <row r="937" spans="3:9" x14ac:dyDescent="0.3">
      <c r="C937">
        <v>913</v>
      </c>
      <c r="D937">
        <v>4532.96</v>
      </c>
      <c r="E937" t="s">
        <v>650</v>
      </c>
      <c r="F937">
        <v>4615.4799999999996</v>
      </c>
      <c r="G937" t="s">
        <v>649</v>
      </c>
      <c r="H937">
        <v>3715.77</v>
      </c>
      <c r="I937" t="s">
        <v>649</v>
      </c>
    </row>
    <row r="938" spans="3:9" x14ac:dyDescent="0.3">
      <c r="C938">
        <v>914</v>
      </c>
      <c r="D938">
        <v>4280.84</v>
      </c>
      <c r="E938" t="s">
        <v>650</v>
      </c>
      <c r="F938">
        <v>4125.1499999999996</v>
      </c>
      <c r="G938" t="s">
        <v>649</v>
      </c>
      <c r="H938">
        <v>4444.7299999999996</v>
      </c>
      <c r="I938" t="s">
        <v>649</v>
      </c>
    </row>
    <row r="939" spans="3:9" x14ac:dyDescent="0.3">
      <c r="C939">
        <v>915</v>
      </c>
      <c r="D939">
        <v>3758.35</v>
      </c>
      <c r="E939" t="s">
        <v>650</v>
      </c>
      <c r="F939">
        <v>5009.04</v>
      </c>
      <c r="G939" t="s">
        <v>649</v>
      </c>
      <c r="H939">
        <v>4312.99</v>
      </c>
      <c r="I939" t="s">
        <v>649</v>
      </c>
    </row>
    <row r="940" spans="3:9" x14ac:dyDescent="0.3">
      <c r="C940">
        <v>916</v>
      </c>
      <c r="D940">
        <v>3923.67</v>
      </c>
      <c r="E940" t="s">
        <v>650</v>
      </c>
      <c r="F940">
        <v>5894.78</v>
      </c>
      <c r="G940" t="s">
        <v>649</v>
      </c>
      <c r="H940">
        <v>5547.89</v>
      </c>
      <c r="I940" t="s">
        <v>649</v>
      </c>
    </row>
    <row r="941" spans="3:9" x14ac:dyDescent="0.3">
      <c r="C941">
        <v>917</v>
      </c>
      <c r="D941">
        <v>5537.56</v>
      </c>
      <c r="E941" t="s">
        <v>650</v>
      </c>
      <c r="F941">
        <v>5271.06</v>
      </c>
      <c r="G941" t="s">
        <v>649</v>
      </c>
      <c r="H941">
        <v>4455.88</v>
      </c>
      <c r="I941" t="s">
        <v>649</v>
      </c>
    </row>
    <row r="942" spans="3:9" x14ac:dyDescent="0.3">
      <c r="C942">
        <v>918</v>
      </c>
      <c r="D942">
        <v>2847.06</v>
      </c>
      <c r="E942" t="s">
        <v>650</v>
      </c>
      <c r="F942">
        <v>4342.7</v>
      </c>
      <c r="G942" t="s">
        <v>649</v>
      </c>
      <c r="H942">
        <v>4223.05</v>
      </c>
      <c r="I942" t="s">
        <v>649</v>
      </c>
    </row>
    <row r="943" spans="3:9" x14ac:dyDescent="0.3">
      <c r="C943">
        <v>919</v>
      </c>
      <c r="D943">
        <v>4564.49</v>
      </c>
      <c r="E943" t="s">
        <v>650</v>
      </c>
      <c r="F943">
        <v>5888.72</v>
      </c>
      <c r="G943" t="s">
        <v>649</v>
      </c>
      <c r="H943">
        <v>3541.28</v>
      </c>
      <c r="I943" t="s">
        <v>649</v>
      </c>
    </row>
    <row r="944" spans="3:9" x14ac:dyDescent="0.3">
      <c r="C944">
        <v>920</v>
      </c>
      <c r="D944">
        <v>4155.76</v>
      </c>
      <c r="E944" t="s">
        <v>650</v>
      </c>
      <c r="F944">
        <v>3840.45</v>
      </c>
      <c r="G944" t="s">
        <v>649</v>
      </c>
      <c r="H944">
        <v>3649.36</v>
      </c>
      <c r="I944" t="s">
        <v>649</v>
      </c>
    </row>
    <row r="945" spans="3:9" x14ac:dyDescent="0.3">
      <c r="C945">
        <v>921</v>
      </c>
      <c r="D945">
        <v>3298.39</v>
      </c>
      <c r="E945" t="s">
        <v>650</v>
      </c>
      <c r="F945">
        <v>4312.3</v>
      </c>
      <c r="G945" t="s">
        <v>649</v>
      </c>
      <c r="H945">
        <v>3122.79</v>
      </c>
      <c r="I945" t="s">
        <v>649</v>
      </c>
    </row>
    <row r="946" spans="3:9" x14ac:dyDescent="0.3">
      <c r="C946">
        <v>922</v>
      </c>
      <c r="D946">
        <v>4697.28</v>
      </c>
      <c r="E946" t="s">
        <v>650</v>
      </c>
      <c r="F946">
        <v>4264</v>
      </c>
      <c r="G946" t="s">
        <v>649</v>
      </c>
      <c r="H946">
        <v>4158.5200000000004</v>
      </c>
      <c r="I946" t="s">
        <v>649</v>
      </c>
    </row>
    <row r="947" spans="3:9" x14ac:dyDescent="0.3">
      <c r="C947">
        <v>923</v>
      </c>
      <c r="D947">
        <v>2895.2</v>
      </c>
      <c r="E947" t="s">
        <v>650</v>
      </c>
      <c r="F947">
        <v>4775.84</v>
      </c>
      <c r="G947" t="s">
        <v>649</v>
      </c>
      <c r="H947">
        <v>2906.92</v>
      </c>
      <c r="I947" t="s">
        <v>649</v>
      </c>
    </row>
    <row r="948" spans="3:9" x14ac:dyDescent="0.3">
      <c r="C948">
        <v>924</v>
      </c>
      <c r="D948">
        <v>3540.11</v>
      </c>
      <c r="E948" t="s">
        <v>650</v>
      </c>
      <c r="F948">
        <v>4726.08</v>
      </c>
      <c r="G948" t="s">
        <v>649</v>
      </c>
      <c r="H948">
        <v>4589.21</v>
      </c>
      <c r="I948" t="s">
        <v>649</v>
      </c>
    </row>
    <row r="949" spans="3:9" x14ac:dyDescent="0.3">
      <c r="C949">
        <v>925</v>
      </c>
      <c r="D949">
        <v>3886.24</v>
      </c>
      <c r="E949" t="s">
        <v>650</v>
      </c>
      <c r="F949">
        <v>3659.9</v>
      </c>
      <c r="G949" t="s">
        <v>649</v>
      </c>
      <c r="H949">
        <v>4276.93</v>
      </c>
      <c r="I949" t="s">
        <v>649</v>
      </c>
    </row>
    <row r="950" spans="3:9" x14ac:dyDescent="0.3">
      <c r="C950">
        <v>926</v>
      </c>
      <c r="D950">
        <v>3436.92</v>
      </c>
      <c r="E950" t="s">
        <v>650</v>
      </c>
      <c r="F950">
        <v>2240.17</v>
      </c>
      <c r="G950" t="s">
        <v>649</v>
      </c>
      <c r="H950">
        <v>3436.02</v>
      </c>
      <c r="I950" t="s">
        <v>649</v>
      </c>
    </row>
    <row r="951" spans="3:9" x14ac:dyDescent="0.3">
      <c r="C951">
        <v>927</v>
      </c>
      <c r="D951">
        <v>4315.68</v>
      </c>
      <c r="E951" t="s">
        <v>650</v>
      </c>
      <c r="F951">
        <v>3449.74</v>
      </c>
      <c r="G951" t="s">
        <v>649</v>
      </c>
      <c r="H951">
        <v>3871.21</v>
      </c>
      <c r="I951" t="s">
        <v>649</v>
      </c>
    </row>
    <row r="952" spans="3:9" x14ac:dyDescent="0.3">
      <c r="C952">
        <v>928</v>
      </c>
      <c r="D952">
        <v>3722.84</v>
      </c>
      <c r="E952" t="s">
        <v>650</v>
      </c>
      <c r="F952">
        <v>3378.36</v>
      </c>
      <c r="G952" t="s">
        <v>649</v>
      </c>
      <c r="H952">
        <v>2559.79</v>
      </c>
      <c r="I952" t="s">
        <v>649</v>
      </c>
    </row>
    <row r="953" spans="3:9" x14ac:dyDescent="0.3">
      <c r="C953">
        <v>929</v>
      </c>
      <c r="D953">
        <v>4052.79</v>
      </c>
      <c r="E953" t="s">
        <v>650</v>
      </c>
      <c r="F953">
        <v>4342.09</v>
      </c>
      <c r="G953" t="s">
        <v>649</v>
      </c>
      <c r="H953">
        <v>3416.48</v>
      </c>
      <c r="I953" t="s">
        <v>649</v>
      </c>
    </row>
    <row r="954" spans="3:9" x14ac:dyDescent="0.3">
      <c r="C954">
        <v>930</v>
      </c>
      <c r="D954">
        <v>4306.88</v>
      </c>
      <c r="E954" t="s">
        <v>650</v>
      </c>
      <c r="F954">
        <v>3605.98</v>
      </c>
      <c r="G954" t="s">
        <v>649</v>
      </c>
      <c r="H954">
        <v>4973.57</v>
      </c>
      <c r="I954" t="s">
        <v>649</v>
      </c>
    </row>
    <row r="955" spans="3:9" x14ac:dyDescent="0.3">
      <c r="C955">
        <v>931</v>
      </c>
      <c r="D955">
        <v>2885.07</v>
      </c>
      <c r="E955" t="s">
        <v>650</v>
      </c>
      <c r="F955">
        <v>3414.42</v>
      </c>
      <c r="G955" t="s">
        <v>649</v>
      </c>
      <c r="H955">
        <v>4609.7700000000004</v>
      </c>
      <c r="I955" t="s">
        <v>649</v>
      </c>
    </row>
    <row r="956" spans="3:9" x14ac:dyDescent="0.3">
      <c r="C956">
        <v>932</v>
      </c>
      <c r="D956">
        <v>4254.22</v>
      </c>
      <c r="E956" t="s">
        <v>650</v>
      </c>
      <c r="F956">
        <v>3612.96</v>
      </c>
      <c r="G956" t="s">
        <v>649</v>
      </c>
      <c r="H956">
        <v>3949.94</v>
      </c>
      <c r="I956" t="s">
        <v>649</v>
      </c>
    </row>
    <row r="957" spans="3:9" x14ac:dyDescent="0.3">
      <c r="C957">
        <v>933</v>
      </c>
      <c r="D957">
        <v>4552.2</v>
      </c>
      <c r="E957" t="s">
        <v>650</v>
      </c>
      <c r="F957">
        <v>3626.41</v>
      </c>
      <c r="G957" t="s">
        <v>649</v>
      </c>
      <c r="H957">
        <v>4899.1400000000003</v>
      </c>
      <c r="I957" t="s">
        <v>649</v>
      </c>
    </row>
    <row r="958" spans="3:9" x14ac:dyDescent="0.3">
      <c r="C958">
        <v>934</v>
      </c>
      <c r="D958">
        <v>3360.59</v>
      </c>
      <c r="E958" t="s">
        <v>650</v>
      </c>
      <c r="F958">
        <v>3846.8</v>
      </c>
      <c r="G958" t="s">
        <v>649</v>
      </c>
      <c r="H958">
        <v>4211.24</v>
      </c>
      <c r="I958" t="s">
        <v>649</v>
      </c>
    </row>
    <row r="959" spans="3:9" x14ac:dyDescent="0.3">
      <c r="C959">
        <v>935</v>
      </c>
      <c r="D959">
        <v>3057</v>
      </c>
      <c r="E959" t="s">
        <v>650</v>
      </c>
      <c r="F959">
        <v>2944.06</v>
      </c>
      <c r="G959" t="s">
        <v>649</v>
      </c>
      <c r="H959">
        <v>4648.7700000000004</v>
      </c>
      <c r="I959" t="s">
        <v>649</v>
      </c>
    </row>
    <row r="960" spans="3:9" x14ac:dyDescent="0.3">
      <c r="C960">
        <v>936</v>
      </c>
      <c r="D960">
        <v>4923.51</v>
      </c>
      <c r="E960" t="s">
        <v>650</v>
      </c>
      <c r="F960">
        <v>4362.41</v>
      </c>
      <c r="G960" t="s">
        <v>649</v>
      </c>
      <c r="H960">
        <v>3720.38</v>
      </c>
      <c r="I960" t="s">
        <v>649</v>
      </c>
    </row>
    <row r="961" spans="3:9" x14ac:dyDescent="0.3">
      <c r="C961">
        <v>937</v>
      </c>
      <c r="D961">
        <v>3575.37</v>
      </c>
      <c r="E961" t="s">
        <v>650</v>
      </c>
      <c r="F961">
        <v>3816.59</v>
      </c>
      <c r="G961" t="s">
        <v>649</v>
      </c>
      <c r="H961">
        <v>3896.11</v>
      </c>
      <c r="I961" t="s">
        <v>649</v>
      </c>
    </row>
    <row r="962" spans="3:9" x14ac:dyDescent="0.3">
      <c r="C962">
        <v>938</v>
      </c>
      <c r="D962">
        <v>4313.83</v>
      </c>
      <c r="E962" t="s">
        <v>650</v>
      </c>
      <c r="F962">
        <v>3431.81</v>
      </c>
      <c r="G962" t="s">
        <v>649</v>
      </c>
      <c r="H962">
        <v>5402.14</v>
      </c>
      <c r="I962" t="s">
        <v>649</v>
      </c>
    </row>
    <row r="963" spans="3:9" x14ac:dyDescent="0.3">
      <c r="C963">
        <v>939</v>
      </c>
      <c r="D963">
        <v>3905.06</v>
      </c>
      <c r="E963" t="s">
        <v>650</v>
      </c>
      <c r="F963">
        <v>4325.3500000000004</v>
      </c>
      <c r="G963" t="s">
        <v>649</v>
      </c>
      <c r="H963">
        <v>4984.6000000000004</v>
      </c>
      <c r="I963" t="s">
        <v>649</v>
      </c>
    </row>
    <row r="964" spans="3:9" x14ac:dyDescent="0.3">
      <c r="C964">
        <v>940</v>
      </c>
      <c r="D964">
        <v>3355.55</v>
      </c>
      <c r="E964" t="s">
        <v>650</v>
      </c>
      <c r="F964">
        <v>3723.98</v>
      </c>
      <c r="G964" t="s">
        <v>649</v>
      </c>
      <c r="H964">
        <v>5237.0600000000004</v>
      </c>
      <c r="I964" t="s">
        <v>649</v>
      </c>
    </row>
    <row r="965" spans="3:9" x14ac:dyDescent="0.3">
      <c r="C965">
        <v>941</v>
      </c>
      <c r="D965">
        <v>2812.99</v>
      </c>
      <c r="E965" t="s">
        <v>650</v>
      </c>
      <c r="F965">
        <v>2550.81</v>
      </c>
      <c r="G965" t="s">
        <v>649</v>
      </c>
      <c r="H965">
        <v>6249.09</v>
      </c>
      <c r="I965" t="s">
        <v>649</v>
      </c>
    </row>
    <row r="966" spans="3:9" x14ac:dyDescent="0.3">
      <c r="C966">
        <v>942</v>
      </c>
      <c r="D966">
        <v>3598.49</v>
      </c>
      <c r="E966" t="s">
        <v>650</v>
      </c>
      <c r="F966">
        <v>4238.3599999999997</v>
      </c>
      <c r="G966" t="s">
        <v>649</v>
      </c>
      <c r="H966">
        <v>4461.7</v>
      </c>
      <c r="I966" t="s">
        <v>649</v>
      </c>
    </row>
    <row r="967" spans="3:9" x14ac:dyDescent="0.3">
      <c r="C967">
        <v>943</v>
      </c>
      <c r="D967">
        <v>4521.51</v>
      </c>
      <c r="E967" t="s">
        <v>650</v>
      </c>
      <c r="F967">
        <v>3785.75</v>
      </c>
      <c r="G967" t="s">
        <v>649</v>
      </c>
      <c r="H967">
        <v>5758</v>
      </c>
      <c r="I967" t="s">
        <v>649</v>
      </c>
    </row>
    <row r="968" spans="3:9" x14ac:dyDescent="0.3">
      <c r="C968">
        <v>944</v>
      </c>
      <c r="D968">
        <v>4790.8</v>
      </c>
      <c r="E968" t="s">
        <v>650</v>
      </c>
      <c r="F968">
        <v>4135.4399999999996</v>
      </c>
      <c r="G968" t="s">
        <v>649</v>
      </c>
      <c r="H968">
        <v>2679.14</v>
      </c>
      <c r="I968" t="s">
        <v>649</v>
      </c>
    </row>
    <row r="969" spans="3:9" x14ac:dyDescent="0.3">
      <c r="C969">
        <v>945</v>
      </c>
      <c r="D969">
        <v>4109.4399999999996</v>
      </c>
      <c r="E969" t="s">
        <v>650</v>
      </c>
      <c r="F969">
        <v>3794.65</v>
      </c>
      <c r="G969" t="s">
        <v>649</v>
      </c>
      <c r="H969">
        <v>4137.67</v>
      </c>
      <c r="I969" t="s">
        <v>649</v>
      </c>
    </row>
    <row r="970" spans="3:9" x14ac:dyDescent="0.3">
      <c r="C970">
        <v>946</v>
      </c>
      <c r="D970">
        <v>3162.36</v>
      </c>
      <c r="E970" t="s">
        <v>650</v>
      </c>
      <c r="F970">
        <v>3988.65</v>
      </c>
      <c r="G970" t="s">
        <v>649</v>
      </c>
      <c r="H970">
        <v>3470.07</v>
      </c>
      <c r="I970" t="s">
        <v>649</v>
      </c>
    </row>
    <row r="971" spans="3:9" x14ac:dyDescent="0.3">
      <c r="C971">
        <v>947</v>
      </c>
      <c r="D971">
        <v>3242.18</v>
      </c>
      <c r="E971" t="s">
        <v>650</v>
      </c>
      <c r="F971">
        <v>4329.21</v>
      </c>
      <c r="G971" t="s">
        <v>649</v>
      </c>
      <c r="H971">
        <v>5018.1499999999996</v>
      </c>
      <c r="I971" t="s">
        <v>649</v>
      </c>
    </row>
    <row r="972" spans="3:9" x14ac:dyDescent="0.3">
      <c r="C972">
        <v>948</v>
      </c>
      <c r="D972">
        <v>3657.86</v>
      </c>
      <c r="E972" t="s">
        <v>650</v>
      </c>
      <c r="F972">
        <v>3793.5</v>
      </c>
      <c r="G972" t="s">
        <v>649</v>
      </c>
      <c r="H972">
        <v>4368.16</v>
      </c>
      <c r="I972" t="s">
        <v>649</v>
      </c>
    </row>
    <row r="973" spans="3:9" x14ac:dyDescent="0.3">
      <c r="C973">
        <v>949</v>
      </c>
      <c r="D973">
        <v>3560.72</v>
      </c>
      <c r="E973" t="s">
        <v>650</v>
      </c>
      <c r="F973">
        <v>4266.5</v>
      </c>
      <c r="G973" t="s">
        <v>649</v>
      </c>
      <c r="H973">
        <v>5019.24</v>
      </c>
      <c r="I973" t="s">
        <v>649</v>
      </c>
    </row>
    <row r="974" spans="3:9" x14ac:dyDescent="0.3">
      <c r="C974">
        <v>950</v>
      </c>
      <c r="D974">
        <v>3546.62</v>
      </c>
      <c r="E974" t="s">
        <v>650</v>
      </c>
      <c r="F974">
        <v>2809.97</v>
      </c>
      <c r="G974" t="s">
        <v>649</v>
      </c>
      <c r="H974">
        <v>4765.42</v>
      </c>
      <c r="I974" t="s">
        <v>649</v>
      </c>
    </row>
    <row r="975" spans="3:9" x14ac:dyDescent="0.3">
      <c r="C975">
        <v>951</v>
      </c>
      <c r="D975">
        <v>5063.71</v>
      </c>
      <c r="E975" t="s">
        <v>650</v>
      </c>
      <c r="F975">
        <v>3485.5</v>
      </c>
      <c r="G975" t="s">
        <v>650</v>
      </c>
      <c r="H975">
        <v>5734.06</v>
      </c>
      <c r="I975" t="s">
        <v>649</v>
      </c>
    </row>
    <row r="976" spans="3:9" x14ac:dyDescent="0.3">
      <c r="C976">
        <v>952</v>
      </c>
      <c r="D976">
        <v>1268.3</v>
      </c>
      <c r="E976" t="s">
        <v>650</v>
      </c>
      <c r="F976">
        <v>5501.94</v>
      </c>
      <c r="G976" t="s">
        <v>650</v>
      </c>
      <c r="H976">
        <v>6715.78</v>
      </c>
      <c r="I976" t="s">
        <v>649</v>
      </c>
    </row>
    <row r="977" spans="3:9" x14ac:dyDescent="0.3">
      <c r="C977">
        <v>953</v>
      </c>
      <c r="D977">
        <v>4240.78</v>
      </c>
      <c r="E977" t="s">
        <v>650</v>
      </c>
      <c r="F977">
        <v>5728.03</v>
      </c>
      <c r="G977" t="s">
        <v>650</v>
      </c>
      <c r="H977">
        <v>6411.01</v>
      </c>
      <c r="I977" t="s">
        <v>649</v>
      </c>
    </row>
    <row r="978" spans="3:9" x14ac:dyDescent="0.3">
      <c r="C978">
        <v>954</v>
      </c>
      <c r="D978">
        <v>3913.71</v>
      </c>
      <c r="E978" t="s">
        <v>650</v>
      </c>
      <c r="F978">
        <v>7718.86</v>
      </c>
      <c r="G978" t="s">
        <v>650</v>
      </c>
      <c r="H978">
        <v>6865.89</v>
      </c>
      <c r="I978" t="s">
        <v>649</v>
      </c>
    </row>
    <row r="979" spans="3:9" x14ac:dyDescent="0.3">
      <c r="C979">
        <v>955</v>
      </c>
      <c r="D979">
        <v>4521.4799999999996</v>
      </c>
      <c r="E979" t="s">
        <v>650</v>
      </c>
      <c r="F979">
        <v>4701.1400000000003</v>
      </c>
      <c r="G979" t="s">
        <v>650</v>
      </c>
      <c r="H979">
        <v>7120.23</v>
      </c>
      <c r="I979" t="s">
        <v>649</v>
      </c>
    </row>
    <row r="980" spans="3:9" x14ac:dyDescent="0.3">
      <c r="C980">
        <v>956</v>
      </c>
      <c r="D980">
        <v>3708.27</v>
      </c>
      <c r="E980" t="s">
        <v>650</v>
      </c>
      <c r="F980">
        <v>6200.21</v>
      </c>
      <c r="G980" t="s">
        <v>650</v>
      </c>
      <c r="H980">
        <v>5945.66</v>
      </c>
      <c r="I980" t="s">
        <v>649</v>
      </c>
    </row>
    <row r="981" spans="3:9" x14ac:dyDescent="0.3">
      <c r="C981">
        <v>957</v>
      </c>
      <c r="D981">
        <v>6345.69</v>
      </c>
      <c r="E981" t="s">
        <v>650</v>
      </c>
      <c r="F981">
        <v>4792.3599999999997</v>
      </c>
      <c r="G981" t="s">
        <v>650</v>
      </c>
      <c r="H981">
        <v>6795.82</v>
      </c>
      <c r="I981" t="s">
        <v>649</v>
      </c>
    </row>
    <row r="982" spans="3:9" x14ac:dyDescent="0.3">
      <c r="C982">
        <v>958</v>
      </c>
      <c r="D982">
        <v>6526.84</v>
      </c>
      <c r="E982" t="s">
        <v>650</v>
      </c>
      <c r="F982">
        <v>6427.95</v>
      </c>
      <c r="G982" t="s">
        <v>650</v>
      </c>
      <c r="H982">
        <v>7483.67</v>
      </c>
      <c r="I982" t="s">
        <v>649</v>
      </c>
    </row>
    <row r="983" spans="3:9" x14ac:dyDescent="0.3">
      <c r="C983">
        <v>959</v>
      </c>
      <c r="D983">
        <v>4993.57</v>
      </c>
      <c r="E983" t="s">
        <v>650</v>
      </c>
      <c r="F983">
        <v>3426.01</v>
      </c>
      <c r="G983" t="s">
        <v>650</v>
      </c>
      <c r="H983">
        <v>4667.82</v>
      </c>
      <c r="I983" t="s">
        <v>649</v>
      </c>
    </row>
    <row r="984" spans="3:9" x14ac:dyDescent="0.3">
      <c r="C984">
        <v>960</v>
      </c>
      <c r="D984">
        <v>6222.01</v>
      </c>
      <c r="E984" t="s">
        <v>650</v>
      </c>
      <c r="F984">
        <v>5629.02</v>
      </c>
      <c r="G984" t="s">
        <v>650</v>
      </c>
      <c r="H984">
        <v>6392.11</v>
      </c>
      <c r="I984" t="s">
        <v>649</v>
      </c>
    </row>
    <row r="985" spans="3:9" x14ac:dyDescent="0.3">
      <c r="C985">
        <v>961</v>
      </c>
      <c r="D985">
        <v>5512.71</v>
      </c>
      <c r="E985" t="s">
        <v>650</v>
      </c>
      <c r="F985">
        <v>3358.68</v>
      </c>
      <c r="G985" t="s">
        <v>650</v>
      </c>
      <c r="H985">
        <v>5163.71</v>
      </c>
      <c r="I985" t="s">
        <v>649</v>
      </c>
    </row>
    <row r="986" spans="3:9" x14ac:dyDescent="0.3">
      <c r="C986">
        <v>962</v>
      </c>
      <c r="D986">
        <v>5173.25</v>
      </c>
      <c r="E986" t="s">
        <v>650</v>
      </c>
      <c r="F986">
        <v>5522.89</v>
      </c>
      <c r="G986" t="s">
        <v>650</v>
      </c>
      <c r="H986">
        <v>6473.31</v>
      </c>
      <c r="I986" t="s">
        <v>649</v>
      </c>
    </row>
    <row r="987" spans="3:9" x14ac:dyDescent="0.3">
      <c r="C987">
        <v>963</v>
      </c>
      <c r="D987">
        <v>4286.91</v>
      </c>
      <c r="E987" t="s">
        <v>650</v>
      </c>
      <c r="F987">
        <v>6258.17</v>
      </c>
      <c r="G987" t="s">
        <v>650</v>
      </c>
      <c r="H987">
        <v>6565.09</v>
      </c>
      <c r="I987" t="s">
        <v>649</v>
      </c>
    </row>
    <row r="988" spans="3:9" x14ac:dyDescent="0.3">
      <c r="C988">
        <v>964</v>
      </c>
      <c r="D988">
        <v>6147.95</v>
      </c>
      <c r="E988" t="s">
        <v>650</v>
      </c>
      <c r="F988">
        <v>5852.94</v>
      </c>
      <c r="G988" t="s">
        <v>650</v>
      </c>
      <c r="H988">
        <v>4110.49</v>
      </c>
      <c r="I988" t="s">
        <v>649</v>
      </c>
    </row>
    <row r="989" spans="3:9" x14ac:dyDescent="0.3">
      <c r="C989">
        <v>965</v>
      </c>
      <c r="D989">
        <v>3249.16</v>
      </c>
      <c r="E989" t="s">
        <v>650</v>
      </c>
      <c r="F989">
        <v>6332.23</v>
      </c>
      <c r="G989" t="s">
        <v>650</v>
      </c>
      <c r="H989">
        <v>4832.24</v>
      </c>
      <c r="I989" t="s">
        <v>649</v>
      </c>
    </row>
    <row r="990" spans="3:9" x14ac:dyDescent="0.3">
      <c r="C990">
        <v>966</v>
      </c>
      <c r="D990">
        <v>4625.21</v>
      </c>
      <c r="E990" t="s">
        <v>650</v>
      </c>
      <c r="F990">
        <v>5265.38</v>
      </c>
      <c r="G990" t="s">
        <v>650</v>
      </c>
      <c r="H990">
        <v>7139.07</v>
      </c>
      <c r="I990" t="s">
        <v>649</v>
      </c>
    </row>
    <row r="991" spans="3:9" x14ac:dyDescent="0.3">
      <c r="C991">
        <v>967</v>
      </c>
      <c r="D991">
        <v>2786.68</v>
      </c>
      <c r="E991" t="s">
        <v>650</v>
      </c>
      <c r="F991">
        <v>4177.1499999999996</v>
      </c>
      <c r="G991" t="s">
        <v>650</v>
      </c>
      <c r="H991">
        <v>6176.46</v>
      </c>
      <c r="I991" t="s">
        <v>649</v>
      </c>
    </row>
    <row r="992" spans="3:9" x14ac:dyDescent="0.3">
      <c r="C992">
        <v>968</v>
      </c>
      <c r="D992">
        <v>3197.07</v>
      </c>
      <c r="E992" t="s">
        <v>650</v>
      </c>
      <c r="F992">
        <v>6158.25</v>
      </c>
      <c r="G992" t="s">
        <v>650</v>
      </c>
      <c r="H992">
        <v>7559.53</v>
      </c>
      <c r="I992" t="s">
        <v>649</v>
      </c>
    </row>
    <row r="993" spans="3:9" x14ac:dyDescent="0.3">
      <c r="C993">
        <v>969</v>
      </c>
      <c r="D993">
        <v>4685.93</v>
      </c>
      <c r="E993" t="s">
        <v>650</v>
      </c>
      <c r="F993">
        <v>3971.38</v>
      </c>
      <c r="G993" t="s">
        <v>650</v>
      </c>
      <c r="H993">
        <v>6190.76</v>
      </c>
      <c r="I993" t="s">
        <v>649</v>
      </c>
    </row>
    <row r="994" spans="3:9" x14ac:dyDescent="0.3">
      <c r="C994">
        <v>970</v>
      </c>
      <c r="D994">
        <v>5719.08</v>
      </c>
      <c r="E994" t="s">
        <v>650</v>
      </c>
      <c r="F994">
        <v>5874.06</v>
      </c>
      <c r="G994" t="s">
        <v>650</v>
      </c>
      <c r="H994">
        <v>6991.4</v>
      </c>
      <c r="I994" t="s">
        <v>649</v>
      </c>
    </row>
    <row r="995" spans="3:9" x14ac:dyDescent="0.3">
      <c r="C995">
        <v>971</v>
      </c>
      <c r="D995">
        <v>3626.17</v>
      </c>
      <c r="E995" t="s">
        <v>650</v>
      </c>
      <c r="F995">
        <v>4005.26</v>
      </c>
      <c r="G995" t="s">
        <v>650</v>
      </c>
      <c r="H995">
        <v>5111.04</v>
      </c>
      <c r="I995" t="s">
        <v>649</v>
      </c>
    </row>
    <row r="996" spans="3:9" x14ac:dyDescent="0.3">
      <c r="C996">
        <v>972</v>
      </c>
      <c r="D996">
        <v>3677.48</v>
      </c>
      <c r="E996" t="s">
        <v>650</v>
      </c>
      <c r="F996">
        <v>4426.78</v>
      </c>
      <c r="G996" t="s">
        <v>650</v>
      </c>
      <c r="H996">
        <v>5955.84</v>
      </c>
      <c r="I996" t="s">
        <v>649</v>
      </c>
    </row>
    <row r="997" spans="3:9" x14ac:dyDescent="0.3">
      <c r="C997">
        <v>973</v>
      </c>
      <c r="D997">
        <v>4450.82</v>
      </c>
      <c r="E997" t="s">
        <v>650</v>
      </c>
      <c r="F997">
        <v>6694.22</v>
      </c>
      <c r="G997" t="s">
        <v>650</v>
      </c>
      <c r="H997">
        <v>5645.28</v>
      </c>
      <c r="I997" t="s">
        <v>649</v>
      </c>
    </row>
    <row r="998" spans="3:9" x14ac:dyDescent="0.3">
      <c r="C998">
        <v>974</v>
      </c>
      <c r="D998">
        <v>6495.27</v>
      </c>
      <c r="E998" t="s">
        <v>650</v>
      </c>
      <c r="F998">
        <v>5984.59</v>
      </c>
      <c r="G998" t="s">
        <v>650</v>
      </c>
      <c r="H998">
        <v>5221.3900000000003</v>
      </c>
      <c r="I998" t="s">
        <v>649</v>
      </c>
    </row>
    <row r="999" spans="3:9" x14ac:dyDescent="0.3">
      <c r="C999">
        <v>975</v>
      </c>
      <c r="D999">
        <v>3712</v>
      </c>
      <c r="E999" t="s">
        <v>650</v>
      </c>
      <c r="F999">
        <v>6098.59</v>
      </c>
      <c r="G999" t="s">
        <v>650</v>
      </c>
      <c r="H999">
        <v>5693.25</v>
      </c>
      <c r="I999" t="s">
        <v>649</v>
      </c>
    </row>
    <row r="1000" spans="3:9" x14ac:dyDescent="0.3">
      <c r="C1000">
        <v>976</v>
      </c>
      <c r="D1000">
        <v>5973.51</v>
      </c>
      <c r="E1000" t="s">
        <v>650</v>
      </c>
      <c r="F1000">
        <v>5547.88</v>
      </c>
      <c r="G1000" t="s">
        <v>650</v>
      </c>
      <c r="H1000">
        <v>5903.52</v>
      </c>
      <c r="I1000" t="s">
        <v>649</v>
      </c>
    </row>
    <row r="1001" spans="3:9" x14ac:dyDescent="0.3">
      <c r="C1001">
        <v>977</v>
      </c>
      <c r="D1001">
        <v>5193.53</v>
      </c>
      <c r="E1001" t="s">
        <v>650</v>
      </c>
      <c r="F1001">
        <v>6192.74</v>
      </c>
      <c r="G1001" t="s">
        <v>650</v>
      </c>
      <c r="H1001">
        <v>5706.62</v>
      </c>
      <c r="I1001" t="s">
        <v>649</v>
      </c>
    </row>
    <row r="1002" spans="3:9" x14ac:dyDescent="0.3">
      <c r="C1002">
        <v>978</v>
      </c>
      <c r="D1002">
        <v>4301.8500000000004</v>
      </c>
      <c r="E1002" t="s">
        <v>650</v>
      </c>
      <c r="F1002">
        <v>6260.13</v>
      </c>
      <c r="G1002" t="s">
        <v>650</v>
      </c>
      <c r="H1002">
        <v>5806.01</v>
      </c>
      <c r="I1002" t="s">
        <v>649</v>
      </c>
    </row>
    <row r="1003" spans="3:9" x14ac:dyDescent="0.3">
      <c r="C1003">
        <v>979</v>
      </c>
      <c r="D1003">
        <v>4945.17</v>
      </c>
      <c r="E1003" t="s">
        <v>650</v>
      </c>
      <c r="F1003">
        <v>6098.72</v>
      </c>
      <c r="G1003" t="s">
        <v>650</v>
      </c>
      <c r="H1003">
        <v>7951.14</v>
      </c>
      <c r="I1003" t="s">
        <v>649</v>
      </c>
    </row>
    <row r="1004" spans="3:9" x14ac:dyDescent="0.3">
      <c r="C1004">
        <v>980</v>
      </c>
      <c r="D1004">
        <v>4266.6000000000004</v>
      </c>
      <c r="E1004" t="s">
        <v>650</v>
      </c>
      <c r="F1004">
        <v>5882.54</v>
      </c>
      <c r="G1004" t="s">
        <v>650</v>
      </c>
      <c r="H1004">
        <v>5662.41</v>
      </c>
      <c r="I1004" t="s">
        <v>649</v>
      </c>
    </row>
    <row r="1005" spans="3:9" x14ac:dyDescent="0.3">
      <c r="C1005">
        <v>981</v>
      </c>
      <c r="D1005">
        <v>6313.39</v>
      </c>
      <c r="E1005" t="s">
        <v>650</v>
      </c>
      <c r="F1005">
        <v>5044.54</v>
      </c>
      <c r="G1005" t="s">
        <v>650</v>
      </c>
      <c r="H1005">
        <v>6298.94</v>
      </c>
      <c r="I1005" t="s">
        <v>649</v>
      </c>
    </row>
    <row r="1006" spans="3:9" x14ac:dyDescent="0.3">
      <c r="C1006">
        <v>982</v>
      </c>
      <c r="D1006">
        <v>5246.93</v>
      </c>
      <c r="E1006" t="s">
        <v>650</v>
      </c>
      <c r="F1006">
        <v>6590.7</v>
      </c>
      <c r="G1006" t="s">
        <v>650</v>
      </c>
      <c r="H1006">
        <v>7280.84</v>
      </c>
      <c r="I1006" t="s">
        <v>649</v>
      </c>
    </row>
    <row r="1007" spans="3:9" x14ac:dyDescent="0.3">
      <c r="C1007">
        <v>983</v>
      </c>
      <c r="D1007">
        <v>5479.6</v>
      </c>
      <c r="E1007" t="s">
        <v>650</v>
      </c>
      <c r="F1007">
        <v>4131.9399999999996</v>
      </c>
      <c r="G1007" t="s">
        <v>650</v>
      </c>
      <c r="H1007">
        <v>6158.04</v>
      </c>
      <c r="I1007" t="s">
        <v>649</v>
      </c>
    </row>
    <row r="1008" spans="3:9" x14ac:dyDescent="0.3">
      <c r="C1008">
        <v>984</v>
      </c>
      <c r="D1008">
        <v>5846.55</v>
      </c>
      <c r="E1008" t="s">
        <v>650</v>
      </c>
      <c r="F1008">
        <v>3923.17</v>
      </c>
      <c r="G1008" t="s">
        <v>650</v>
      </c>
      <c r="H1008">
        <v>5202.55</v>
      </c>
      <c r="I1008" t="s">
        <v>649</v>
      </c>
    </row>
    <row r="1009" spans="3:9" x14ac:dyDescent="0.3">
      <c r="C1009">
        <v>985</v>
      </c>
      <c r="D1009">
        <v>5183.93</v>
      </c>
      <c r="E1009" t="s">
        <v>650</v>
      </c>
      <c r="F1009">
        <v>5317.18</v>
      </c>
      <c r="G1009" t="s">
        <v>650</v>
      </c>
      <c r="H1009">
        <v>6969.03</v>
      </c>
      <c r="I1009" t="s">
        <v>649</v>
      </c>
    </row>
    <row r="1010" spans="3:9" x14ac:dyDescent="0.3">
      <c r="C1010">
        <v>986</v>
      </c>
      <c r="D1010">
        <v>4171.05</v>
      </c>
      <c r="E1010" t="s">
        <v>650</v>
      </c>
      <c r="F1010">
        <v>5459.35</v>
      </c>
      <c r="G1010" t="s">
        <v>650</v>
      </c>
      <c r="H1010">
        <v>3862.42</v>
      </c>
      <c r="I1010" t="s">
        <v>649</v>
      </c>
    </row>
    <row r="1011" spans="3:9" x14ac:dyDescent="0.3">
      <c r="C1011">
        <v>987</v>
      </c>
      <c r="D1011">
        <v>6519.06</v>
      </c>
      <c r="E1011" t="s">
        <v>650</v>
      </c>
      <c r="F1011">
        <v>3856.28</v>
      </c>
      <c r="G1011" t="s">
        <v>650</v>
      </c>
      <c r="H1011">
        <v>7176.91</v>
      </c>
      <c r="I1011" t="s">
        <v>649</v>
      </c>
    </row>
    <row r="1012" spans="3:9" x14ac:dyDescent="0.3">
      <c r="C1012">
        <v>988</v>
      </c>
      <c r="D1012">
        <v>5015.13</v>
      </c>
      <c r="E1012" t="s">
        <v>650</v>
      </c>
      <c r="F1012">
        <v>4078.9</v>
      </c>
      <c r="G1012" t="s">
        <v>650</v>
      </c>
      <c r="H1012">
        <v>5849.3</v>
      </c>
      <c r="I1012" t="s">
        <v>649</v>
      </c>
    </row>
    <row r="1013" spans="3:9" x14ac:dyDescent="0.3">
      <c r="C1013">
        <v>989</v>
      </c>
      <c r="D1013">
        <v>5822.61</v>
      </c>
      <c r="E1013" t="s">
        <v>650</v>
      </c>
      <c r="F1013">
        <v>6136.51</v>
      </c>
      <c r="G1013" t="s">
        <v>650</v>
      </c>
      <c r="H1013">
        <v>7891.09</v>
      </c>
      <c r="I1013" t="s">
        <v>649</v>
      </c>
    </row>
    <row r="1014" spans="3:9" x14ac:dyDescent="0.3">
      <c r="C1014">
        <v>990</v>
      </c>
      <c r="D1014">
        <v>7068.13</v>
      </c>
      <c r="E1014" t="s">
        <v>650</v>
      </c>
      <c r="F1014">
        <v>4499.7299999999996</v>
      </c>
      <c r="G1014" t="s">
        <v>650</v>
      </c>
      <c r="H1014">
        <v>7017.05</v>
      </c>
      <c r="I1014" t="s">
        <v>649</v>
      </c>
    </row>
    <row r="1015" spans="3:9" x14ac:dyDescent="0.3">
      <c r="C1015">
        <v>991</v>
      </c>
      <c r="D1015">
        <v>4523.71</v>
      </c>
      <c r="E1015" t="s">
        <v>650</v>
      </c>
      <c r="F1015">
        <v>4224.04</v>
      </c>
      <c r="G1015" t="s">
        <v>650</v>
      </c>
      <c r="H1015">
        <v>5028.47</v>
      </c>
      <c r="I1015" t="s">
        <v>649</v>
      </c>
    </row>
    <row r="1016" spans="3:9" x14ac:dyDescent="0.3">
      <c r="C1016">
        <v>992</v>
      </c>
      <c r="D1016">
        <v>5813.64</v>
      </c>
      <c r="E1016" t="s">
        <v>650</v>
      </c>
      <c r="F1016">
        <v>5694.02</v>
      </c>
      <c r="G1016" t="s">
        <v>650</v>
      </c>
      <c r="H1016">
        <v>5863.77</v>
      </c>
      <c r="I1016" t="s">
        <v>649</v>
      </c>
    </row>
    <row r="1017" spans="3:9" x14ac:dyDescent="0.3">
      <c r="C1017">
        <v>993</v>
      </c>
      <c r="D1017">
        <v>3154.81</v>
      </c>
      <c r="E1017" t="s">
        <v>650</v>
      </c>
      <c r="F1017">
        <v>8137.25</v>
      </c>
      <c r="G1017" t="s">
        <v>650</v>
      </c>
      <c r="H1017">
        <v>5049.91</v>
      </c>
      <c r="I1017" t="s">
        <v>649</v>
      </c>
    </row>
    <row r="1018" spans="3:9" x14ac:dyDescent="0.3">
      <c r="C1018">
        <v>994</v>
      </c>
      <c r="D1018">
        <v>3394.51</v>
      </c>
      <c r="E1018" t="s">
        <v>650</v>
      </c>
      <c r="F1018">
        <v>5176.16</v>
      </c>
      <c r="G1018" t="s">
        <v>650</v>
      </c>
      <c r="H1018">
        <v>6417.22</v>
      </c>
      <c r="I1018" t="s">
        <v>649</v>
      </c>
    </row>
    <row r="1019" spans="3:9" x14ac:dyDescent="0.3">
      <c r="C1019">
        <v>995</v>
      </c>
      <c r="D1019">
        <v>5730.72</v>
      </c>
      <c r="E1019" t="s">
        <v>650</v>
      </c>
      <c r="F1019">
        <v>7086.99</v>
      </c>
      <c r="G1019" t="s">
        <v>650</v>
      </c>
      <c r="H1019">
        <v>6031.73</v>
      </c>
      <c r="I1019" t="s">
        <v>649</v>
      </c>
    </row>
    <row r="1020" spans="3:9" x14ac:dyDescent="0.3">
      <c r="C1020">
        <v>996</v>
      </c>
      <c r="D1020">
        <v>5709.44</v>
      </c>
      <c r="E1020" t="s">
        <v>650</v>
      </c>
      <c r="F1020">
        <v>4270.1899999999996</v>
      </c>
      <c r="G1020" t="s">
        <v>650</v>
      </c>
      <c r="H1020">
        <v>5859.44</v>
      </c>
      <c r="I1020" t="s">
        <v>649</v>
      </c>
    </row>
    <row r="1021" spans="3:9" x14ac:dyDescent="0.3">
      <c r="C1021">
        <v>997</v>
      </c>
      <c r="D1021">
        <v>3939.56</v>
      </c>
      <c r="E1021" t="s">
        <v>650</v>
      </c>
      <c r="F1021">
        <v>6653.53</v>
      </c>
      <c r="G1021" t="s">
        <v>650</v>
      </c>
      <c r="H1021">
        <v>6288.48</v>
      </c>
      <c r="I1021" t="s">
        <v>649</v>
      </c>
    </row>
    <row r="1022" spans="3:9" x14ac:dyDescent="0.3">
      <c r="C1022">
        <v>998</v>
      </c>
      <c r="D1022">
        <v>4828.8900000000003</v>
      </c>
      <c r="E1022" t="s">
        <v>650</v>
      </c>
      <c r="F1022">
        <v>5797.45</v>
      </c>
      <c r="G1022" t="s">
        <v>650</v>
      </c>
      <c r="H1022">
        <v>4631.68</v>
      </c>
      <c r="I1022" t="s">
        <v>649</v>
      </c>
    </row>
    <row r="1023" spans="3:9" x14ac:dyDescent="0.3">
      <c r="C1023">
        <v>999</v>
      </c>
      <c r="D1023">
        <v>4830.3100000000004</v>
      </c>
      <c r="E1023" t="s">
        <v>650</v>
      </c>
      <c r="F1023">
        <v>5474.11</v>
      </c>
      <c r="G1023" t="s">
        <v>650</v>
      </c>
      <c r="H1023">
        <v>6795.07</v>
      </c>
      <c r="I1023" t="s">
        <v>649</v>
      </c>
    </row>
    <row r="1024" spans="3:9" x14ac:dyDescent="0.3">
      <c r="C1024">
        <v>1000</v>
      </c>
      <c r="D1024">
        <v>5549.38</v>
      </c>
      <c r="E1024" t="s">
        <v>650</v>
      </c>
      <c r="F1024">
        <v>4231.0600000000004</v>
      </c>
      <c r="G1024" t="s">
        <v>650</v>
      </c>
      <c r="H1024">
        <v>6842.98</v>
      </c>
      <c r="I1024" t="s">
        <v>649</v>
      </c>
    </row>
  </sheetData>
  <mergeCells count="3">
    <mergeCell ref="C10:H10"/>
    <mergeCell ref="C22:I22"/>
    <mergeCell ref="K22:Q22"/>
  </mergeCells>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B00BA-7C45-415A-8844-BBE19F8ED0CA}">
  <sheetPr>
    <tabColor theme="9" tint="0.59999389629810485"/>
  </sheetPr>
  <dimension ref="A1:Z1024"/>
  <sheetViews>
    <sheetView workbookViewId="0">
      <selection activeCell="R47" sqref="R47"/>
    </sheetView>
  </sheetViews>
  <sheetFormatPr defaultRowHeight="14.4" x14ac:dyDescent="0.3"/>
  <cols>
    <col min="3" max="3" width="9.88671875" bestFit="1" customWidth="1"/>
    <col min="12" max="12" width="9.21875" customWidth="1"/>
    <col min="14" max="16" width="15.33203125" customWidth="1"/>
    <col min="18" max="18" width="21.6640625" customWidth="1"/>
    <col min="19" max="20" width="12.33203125" bestFit="1" customWidth="1"/>
    <col min="21" max="21" width="12.109375" customWidth="1"/>
    <col min="22" max="22" width="14.44140625" customWidth="1"/>
  </cols>
  <sheetData>
    <row r="1" spans="1:10" ht="15" thickBot="1" x14ac:dyDescent="0.35">
      <c r="A1" t="s">
        <v>660</v>
      </c>
      <c r="I1" s="25" t="s">
        <v>40</v>
      </c>
      <c r="J1" s="134"/>
    </row>
    <row r="2" spans="1:10" x14ac:dyDescent="0.3">
      <c r="I2" s="23" t="s">
        <v>39</v>
      </c>
      <c r="J2" s="23"/>
    </row>
    <row r="3" spans="1:10" ht="15" thickBot="1" x14ac:dyDescent="0.35">
      <c r="I3" s="22" t="s">
        <v>38</v>
      </c>
      <c r="J3" s="22"/>
    </row>
    <row r="4" spans="1:10" ht="15.6" thickTop="1" thickBot="1" x14ac:dyDescent="0.35">
      <c r="I4" s="21" t="s">
        <v>37</v>
      </c>
      <c r="J4" s="21"/>
    </row>
    <row r="5" spans="1:10" ht="15" thickTop="1" x14ac:dyDescent="0.3">
      <c r="I5" s="20" t="s">
        <v>36</v>
      </c>
      <c r="J5" s="20"/>
    </row>
    <row r="9" spans="1:10" ht="15" thickBot="1" x14ac:dyDescent="0.35"/>
    <row r="10" spans="1:10" ht="15" thickBot="1" x14ac:dyDescent="0.35">
      <c r="C10" s="182" t="s">
        <v>16</v>
      </c>
      <c r="D10" s="183"/>
      <c r="E10" s="183"/>
      <c r="F10" s="183"/>
      <c r="G10" s="183"/>
      <c r="H10" s="184"/>
    </row>
    <row r="12" spans="1:10" x14ac:dyDescent="0.3">
      <c r="D12" t="s">
        <v>659</v>
      </c>
    </row>
    <row r="13" spans="1:10" x14ac:dyDescent="0.3">
      <c r="D13" t="s">
        <v>658</v>
      </c>
    </row>
    <row r="14" spans="1:10" x14ac:dyDescent="0.3">
      <c r="C14" s="27">
        <v>200000</v>
      </c>
      <c r="D14" t="s">
        <v>657</v>
      </c>
    </row>
    <row r="21" spans="3:21" ht="15" thickBot="1" x14ac:dyDescent="0.35"/>
    <row r="22" spans="3:21" ht="15" thickBot="1" x14ac:dyDescent="0.35">
      <c r="C22" s="182" t="s">
        <v>10</v>
      </c>
      <c r="D22" s="183"/>
      <c r="E22" s="183"/>
      <c r="F22" s="183"/>
      <c r="G22" s="183"/>
      <c r="H22" s="183"/>
      <c r="I22" s="184"/>
      <c r="J22" s="33"/>
      <c r="K22" s="182" t="s">
        <v>9</v>
      </c>
      <c r="L22" s="183"/>
      <c r="M22" s="183"/>
      <c r="N22" s="183"/>
      <c r="O22" s="183"/>
      <c r="P22" s="183"/>
      <c r="Q22" s="184"/>
      <c r="S22" s="55">
        <f>SUM(D25:D1024)</f>
        <v>3364352.0699999975</v>
      </c>
      <c r="T22" s="55">
        <f>SUM(F25:F1024)</f>
        <v>3470477.6199999996</v>
      </c>
      <c r="U22" s="55">
        <f>SUM(H25:H1024)</f>
        <v>3761804.6399999969</v>
      </c>
    </row>
    <row r="23" spans="3:21" ht="15.6" thickTop="1" thickBot="1" x14ac:dyDescent="0.35">
      <c r="S23" s="21" t="b">
        <f>S22=N31</f>
        <v>1</v>
      </c>
      <c r="T23" s="21" t="b">
        <f>T22=O31</f>
        <v>1</v>
      </c>
      <c r="U23" s="21" t="b">
        <f>U22=P31</f>
        <v>1</v>
      </c>
    </row>
    <row r="24" spans="3:21" ht="15" thickTop="1" x14ac:dyDescent="0.3">
      <c r="C24" t="s">
        <v>643</v>
      </c>
      <c r="D24" t="s">
        <v>656</v>
      </c>
      <c r="E24" t="s">
        <v>655</v>
      </c>
      <c r="F24" t="s">
        <v>654</v>
      </c>
      <c r="G24" t="s">
        <v>653</v>
      </c>
      <c r="H24" t="s">
        <v>652</v>
      </c>
      <c r="I24" t="s">
        <v>651</v>
      </c>
      <c r="K24" s="148" t="s">
        <v>758</v>
      </c>
    </row>
    <row r="25" spans="3:21" x14ac:dyDescent="0.3">
      <c r="C25">
        <v>1</v>
      </c>
      <c r="D25">
        <v>3188.38</v>
      </c>
      <c r="E25" t="s">
        <v>650</v>
      </c>
      <c r="F25">
        <v>2999.28</v>
      </c>
      <c r="G25" t="s">
        <v>650</v>
      </c>
      <c r="H25">
        <v>4030.32</v>
      </c>
      <c r="I25" t="s">
        <v>650</v>
      </c>
      <c r="K25" t="str">
        <f t="shared" ref="K25:K88" si="0">IF(AND(E25="No",G25="No",I25="No"),"No","Yes")</f>
        <v>No</v>
      </c>
      <c r="M25" s="148" t="s">
        <v>757</v>
      </c>
      <c r="N25" s="6"/>
      <c r="O25" s="6"/>
      <c r="P25" s="6"/>
    </row>
    <row r="26" spans="3:21" x14ac:dyDescent="0.3">
      <c r="C26">
        <v>2</v>
      </c>
      <c r="D26">
        <v>2482.1799999999998</v>
      </c>
      <c r="E26" t="s">
        <v>650</v>
      </c>
      <c r="F26">
        <v>2062.83</v>
      </c>
      <c r="G26" t="s">
        <v>650</v>
      </c>
      <c r="H26">
        <v>2186.1</v>
      </c>
      <c r="I26" t="s">
        <v>650</v>
      </c>
      <c r="K26" t="str">
        <f t="shared" si="0"/>
        <v>No</v>
      </c>
    </row>
    <row r="27" spans="3:21" x14ac:dyDescent="0.3">
      <c r="C27">
        <v>3</v>
      </c>
      <c r="D27">
        <v>1452.99</v>
      </c>
      <c r="E27" t="s">
        <v>650</v>
      </c>
      <c r="F27">
        <v>2422.41</v>
      </c>
      <c r="G27" t="s">
        <v>650</v>
      </c>
      <c r="H27">
        <v>3538.16</v>
      </c>
      <c r="I27" t="s">
        <v>650</v>
      </c>
      <c r="K27" t="str">
        <f t="shared" si="0"/>
        <v>No</v>
      </c>
      <c r="N27" t="s">
        <v>226</v>
      </c>
    </row>
    <row r="28" spans="3:21" x14ac:dyDescent="0.3">
      <c r="C28">
        <v>4</v>
      </c>
      <c r="D28">
        <v>3207.29</v>
      </c>
      <c r="E28" t="s">
        <v>650</v>
      </c>
      <c r="F28">
        <v>2581.87</v>
      </c>
      <c r="G28" t="s">
        <v>650</v>
      </c>
      <c r="H28">
        <v>5427.71</v>
      </c>
      <c r="I28" t="s">
        <v>650</v>
      </c>
      <c r="K28" t="str">
        <f t="shared" si="0"/>
        <v>No</v>
      </c>
      <c r="M28" t="s">
        <v>754</v>
      </c>
      <c r="N28" t="s">
        <v>662</v>
      </c>
      <c r="O28" t="s">
        <v>132</v>
      </c>
      <c r="P28" t="s">
        <v>753</v>
      </c>
    </row>
    <row r="29" spans="3:21" x14ac:dyDescent="0.3">
      <c r="C29">
        <v>5</v>
      </c>
      <c r="D29">
        <v>3217.58</v>
      </c>
      <c r="E29" t="s">
        <v>650</v>
      </c>
      <c r="F29">
        <v>3063.12</v>
      </c>
      <c r="G29" t="s">
        <v>650</v>
      </c>
      <c r="H29">
        <v>3663.54</v>
      </c>
      <c r="I29" t="s">
        <v>650</v>
      </c>
      <c r="K29" t="str">
        <f t="shared" si="0"/>
        <v>No</v>
      </c>
      <c r="M29" t="s">
        <v>649</v>
      </c>
      <c r="N29" s="55">
        <f>SUMIFS($D$25:$D$1024,$E$25:$E$1024,$M29)</f>
        <v>887803.65999999992</v>
      </c>
      <c r="O29" s="55">
        <f>SUMIFS($F$25:$F$1024,$G$25:$G$1024,$M29)</f>
        <v>1085747.9000000006</v>
      </c>
      <c r="P29" s="55">
        <f>SUMIFS($H$25:$H$1024,$I$25:$I$1024,$M29)</f>
        <v>1445266.2899999996</v>
      </c>
    </row>
    <row r="30" spans="3:21" x14ac:dyDescent="0.3">
      <c r="C30">
        <v>6</v>
      </c>
      <c r="D30">
        <v>1864.1</v>
      </c>
      <c r="E30" t="s">
        <v>650</v>
      </c>
      <c r="F30">
        <v>3240.74</v>
      </c>
      <c r="G30" t="s">
        <v>650</v>
      </c>
      <c r="H30">
        <v>2705.97</v>
      </c>
      <c r="I30" t="s">
        <v>650</v>
      </c>
      <c r="K30" t="str">
        <f t="shared" si="0"/>
        <v>No</v>
      </c>
      <c r="M30" t="s">
        <v>650</v>
      </c>
      <c r="N30" s="55">
        <f>SUMIFS($D$25:$D$1024,$E$25:$E$1024,$M30)</f>
        <v>2476548.4099999969</v>
      </c>
      <c r="O30" s="55">
        <f>SUMIFS($F$25:$F$1024,$G$25:$G$1024,$M30)</f>
        <v>2384729.7200000007</v>
      </c>
      <c r="P30" s="55">
        <f>SUMIFS($H$25:$H$1024,$I$25:$I$1024,$M30)</f>
        <v>2316538.3499999996</v>
      </c>
    </row>
    <row r="31" spans="3:21" x14ac:dyDescent="0.3">
      <c r="C31">
        <v>7</v>
      </c>
      <c r="D31">
        <v>1948.32</v>
      </c>
      <c r="E31" t="s">
        <v>650</v>
      </c>
      <c r="F31">
        <v>2320.7199999999998</v>
      </c>
      <c r="G31" t="s">
        <v>650</v>
      </c>
      <c r="H31">
        <v>2883.77</v>
      </c>
      <c r="I31" t="s">
        <v>650</v>
      </c>
      <c r="K31" t="str">
        <f t="shared" si="0"/>
        <v>No</v>
      </c>
      <c r="M31" t="s">
        <v>380</v>
      </c>
      <c r="N31" s="55">
        <f>SUM(N29:N30)</f>
        <v>3364352.0699999966</v>
      </c>
      <c r="O31" s="55">
        <f>SUM(O29:O30)</f>
        <v>3470477.620000001</v>
      </c>
      <c r="P31" s="55">
        <f>SUM(P29:P30)</f>
        <v>3761804.6399999992</v>
      </c>
    </row>
    <row r="32" spans="3:21" x14ac:dyDescent="0.3">
      <c r="C32">
        <v>8</v>
      </c>
      <c r="D32">
        <v>1411.43</v>
      </c>
      <c r="E32" t="s">
        <v>650</v>
      </c>
      <c r="F32">
        <v>2844.86</v>
      </c>
      <c r="G32" t="s">
        <v>650</v>
      </c>
      <c r="H32">
        <v>3860.47</v>
      </c>
      <c r="I32" t="s">
        <v>650</v>
      </c>
      <c r="K32" t="str">
        <f t="shared" si="0"/>
        <v>No</v>
      </c>
    </row>
    <row r="33" spans="3:26" x14ac:dyDescent="0.3">
      <c r="C33">
        <v>9</v>
      </c>
      <c r="D33">
        <v>3280.13</v>
      </c>
      <c r="E33" t="s">
        <v>650</v>
      </c>
      <c r="F33">
        <v>4294.8500000000004</v>
      </c>
      <c r="G33" t="s">
        <v>650</v>
      </c>
      <c r="H33">
        <v>3388.24</v>
      </c>
      <c r="I33" t="s">
        <v>650</v>
      </c>
      <c r="K33" t="str">
        <f t="shared" si="0"/>
        <v>No</v>
      </c>
    </row>
    <row r="34" spans="3:26" x14ac:dyDescent="0.3">
      <c r="C34">
        <v>10</v>
      </c>
      <c r="D34">
        <v>3434.68</v>
      </c>
      <c r="E34" t="s">
        <v>650</v>
      </c>
      <c r="F34">
        <v>2009.6</v>
      </c>
      <c r="G34" t="s">
        <v>650</v>
      </c>
      <c r="H34">
        <v>2784.34</v>
      </c>
      <c r="I34" t="s">
        <v>650</v>
      </c>
      <c r="K34" t="str">
        <f t="shared" si="0"/>
        <v>No</v>
      </c>
      <c r="N34" t="s">
        <v>464</v>
      </c>
    </row>
    <row r="35" spans="3:26" x14ac:dyDescent="0.3">
      <c r="C35">
        <v>11</v>
      </c>
      <c r="D35">
        <v>3054.93</v>
      </c>
      <c r="E35" t="s">
        <v>650</v>
      </c>
      <c r="F35">
        <v>1431.97</v>
      </c>
      <c r="G35" t="s">
        <v>650</v>
      </c>
      <c r="H35">
        <v>3070.34</v>
      </c>
      <c r="I35" t="s">
        <v>650</v>
      </c>
      <c r="K35" t="str">
        <f t="shared" si="0"/>
        <v>No</v>
      </c>
      <c r="M35" t="s">
        <v>754</v>
      </c>
      <c r="N35" t="s">
        <v>662</v>
      </c>
      <c r="O35" t="s">
        <v>132</v>
      </c>
      <c r="P35" t="s">
        <v>753</v>
      </c>
    </row>
    <row r="36" spans="3:26" x14ac:dyDescent="0.3">
      <c r="C36">
        <v>12</v>
      </c>
      <c r="D36">
        <v>3616.74</v>
      </c>
      <c r="E36" t="s">
        <v>650</v>
      </c>
      <c r="F36">
        <v>2855.96</v>
      </c>
      <c r="G36" t="s">
        <v>650</v>
      </c>
      <c r="H36">
        <v>2796.4</v>
      </c>
      <c r="I36" t="s">
        <v>650</v>
      </c>
      <c r="K36" t="str">
        <f t="shared" si="0"/>
        <v>No</v>
      </c>
      <c r="M36" t="s">
        <v>649</v>
      </c>
      <c r="N36" s="147">
        <f>COUNTIFS($E$25:$E$1024,$M36)</f>
        <v>200</v>
      </c>
      <c r="O36" s="147">
        <f>COUNTIFS($G$25:$G$1024,$M36)</f>
        <v>250</v>
      </c>
      <c r="P36" s="147">
        <f>COUNTIFS($I$25:$I$1024,$M36)</f>
        <v>300</v>
      </c>
    </row>
    <row r="37" spans="3:26" x14ac:dyDescent="0.3">
      <c r="C37">
        <v>13</v>
      </c>
      <c r="D37">
        <v>2369.4699999999998</v>
      </c>
      <c r="E37" t="s">
        <v>650</v>
      </c>
      <c r="F37">
        <v>3537.76</v>
      </c>
      <c r="G37" t="s">
        <v>650</v>
      </c>
      <c r="H37">
        <v>2616.11</v>
      </c>
      <c r="I37" t="s">
        <v>650</v>
      </c>
      <c r="K37" t="str">
        <f t="shared" si="0"/>
        <v>No</v>
      </c>
      <c r="M37" t="s">
        <v>650</v>
      </c>
      <c r="N37" s="147">
        <f>COUNTIFS($E$25:$E$1024,$M37)</f>
        <v>800</v>
      </c>
      <c r="O37" s="147">
        <f>COUNTIFS($G$25:$G$1024,$M37)</f>
        <v>750</v>
      </c>
      <c r="P37" s="147">
        <f>COUNTIFS($I$25:$I$1024,$M37)</f>
        <v>700</v>
      </c>
    </row>
    <row r="38" spans="3:26" x14ac:dyDescent="0.3">
      <c r="C38">
        <v>14</v>
      </c>
      <c r="D38">
        <v>2703.85</v>
      </c>
      <c r="E38" t="s">
        <v>650</v>
      </c>
      <c r="F38">
        <v>3208.93</v>
      </c>
      <c r="G38" t="s">
        <v>650</v>
      </c>
      <c r="H38">
        <v>2305.4699999999998</v>
      </c>
      <c r="I38" t="s">
        <v>650</v>
      </c>
      <c r="K38" t="str">
        <f t="shared" si="0"/>
        <v>No</v>
      </c>
      <c r="M38" t="s">
        <v>380</v>
      </c>
      <c r="N38" s="147">
        <f>SUM(N36:N37)</f>
        <v>1000</v>
      </c>
      <c r="O38" s="147">
        <f>SUM(O36:O37)</f>
        <v>1000</v>
      </c>
      <c r="P38" s="147">
        <f>SUM(P36:P37)</f>
        <v>1000</v>
      </c>
    </row>
    <row r="39" spans="3:26" x14ac:dyDescent="0.3">
      <c r="C39">
        <v>15</v>
      </c>
      <c r="D39">
        <v>2648.2</v>
      </c>
      <c r="E39" t="s">
        <v>650</v>
      </c>
      <c r="F39">
        <v>2408.91</v>
      </c>
      <c r="G39" t="s">
        <v>650</v>
      </c>
      <c r="H39">
        <v>3793.43</v>
      </c>
      <c r="I39" t="s">
        <v>650</v>
      </c>
      <c r="K39" t="str">
        <f t="shared" si="0"/>
        <v>No</v>
      </c>
    </row>
    <row r="40" spans="3:26" x14ac:dyDescent="0.3">
      <c r="C40">
        <v>16</v>
      </c>
      <c r="D40">
        <v>3227.14</v>
      </c>
      <c r="E40" t="s">
        <v>650</v>
      </c>
      <c r="F40">
        <v>2737.13</v>
      </c>
      <c r="G40" t="s">
        <v>650</v>
      </c>
      <c r="H40">
        <v>2172.13</v>
      </c>
      <c r="I40" t="s">
        <v>650</v>
      </c>
      <c r="K40" t="str">
        <f t="shared" si="0"/>
        <v>No</v>
      </c>
    </row>
    <row r="41" spans="3:26" x14ac:dyDescent="0.3">
      <c r="C41">
        <v>17</v>
      </c>
      <c r="D41">
        <v>2598.19</v>
      </c>
      <c r="E41" t="s">
        <v>650</v>
      </c>
      <c r="F41">
        <v>2935.58</v>
      </c>
      <c r="G41" t="s">
        <v>650</v>
      </c>
      <c r="H41">
        <v>5097.46</v>
      </c>
      <c r="I41" t="s">
        <v>650</v>
      </c>
      <c r="K41" t="str">
        <f t="shared" si="0"/>
        <v>No</v>
      </c>
      <c r="N41" t="s">
        <v>466</v>
      </c>
      <c r="S41" t="s">
        <v>132</v>
      </c>
      <c r="T41" t="s">
        <v>753</v>
      </c>
    </row>
    <row r="42" spans="3:26" x14ac:dyDescent="0.3">
      <c r="C42">
        <v>18</v>
      </c>
      <c r="D42">
        <v>2317.46</v>
      </c>
      <c r="E42" t="s">
        <v>650</v>
      </c>
      <c r="F42">
        <v>4664.92</v>
      </c>
      <c r="G42" t="s">
        <v>650</v>
      </c>
      <c r="H42">
        <v>3177.98</v>
      </c>
      <c r="I42" t="s">
        <v>650</v>
      </c>
      <c r="K42" t="str">
        <f t="shared" si="0"/>
        <v>No</v>
      </c>
      <c r="M42" t="s">
        <v>754</v>
      </c>
      <c r="N42" t="s">
        <v>662</v>
      </c>
      <c r="O42" t="s">
        <v>132</v>
      </c>
      <c r="P42" t="s">
        <v>753</v>
      </c>
      <c r="R42" t="s">
        <v>755</v>
      </c>
      <c r="S42" s="94">
        <f>O43/N43-1</f>
        <v>-2.1632418140740128E-2</v>
      </c>
      <c r="T42" s="94">
        <f>P43/O43-1</f>
        <v>0.10927092283576956</v>
      </c>
    </row>
    <row r="43" spans="3:26" x14ac:dyDescent="0.3">
      <c r="C43">
        <v>19</v>
      </c>
      <c r="D43">
        <v>2109.8000000000002</v>
      </c>
      <c r="E43" t="s">
        <v>650</v>
      </c>
      <c r="F43">
        <v>3116.88</v>
      </c>
      <c r="G43" t="s">
        <v>650</v>
      </c>
      <c r="H43">
        <v>2446.7399999999998</v>
      </c>
      <c r="I43" t="s">
        <v>650</v>
      </c>
      <c r="K43" t="str">
        <f t="shared" si="0"/>
        <v>No</v>
      </c>
      <c r="M43" t="s">
        <v>649</v>
      </c>
      <c r="N43" s="55">
        <f t="shared" ref="N43:P45" si="1">N29/(N36*12)</f>
        <v>369.91819166666664</v>
      </c>
      <c r="O43" s="55">
        <f t="shared" si="1"/>
        <v>361.91596666666686</v>
      </c>
      <c r="P43" s="55">
        <f t="shared" si="1"/>
        <v>401.4628583333332</v>
      </c>
      <c r="R43" t="s">
        <v>752</v>
      </c>
      <c r="S43" s="94">
        <f>O44/N44-1</f>
        <v>2.7119716724349097E-2</v>
      </c>
      <c r="T43" s="94">
        <f>P44/O44-1</f>
        <v>4.0791060799963086E-2</v>
      </c>
    </row>
    <row r="44" spans="3:26" x14ac:dyDescent="0.3">
      <c r="C44">
        <v>20</v>
      </c>
      <c r="D44">
        <v>3484.96</v>
      </c>
      <c r="E44" t="s">
        <v>650</v>
      </c>
      <c r="F44">
        <v>1646.64</v>
      </c>
      <c r="G44" t="s">
        <v>650</v>
      </c>
      <c r="H44">
        <v>2505.17</v>
      </c>
      <c r="I44" t="s">
        <v>650</v>
      </c>
      <c r="K44" t="str">
        <f t="shared" si="0"/>
        <v>No</v>
      </c>
      <c r="M44" t="s">
        <v>650</v>
      </c>
      <c r="N44" s="55">
        <f t="shared" si="1"/>
        <v>257.97379270833301</v>
      </c>
      <c r="O44" s="55">
        <f t="shared" si="1"/>
        <v>264.96996888888896</v>
      </c>
      <c r="P44" s="55">
        <f t="shared" si="1"/>
        <v>275.77837499999998</v>
      </c>
      <c r="R44" t="s">
        <v>751</v>
      </c>
      <c r="S44" s="55">
        <f>N43*(1+S43)</f>
        <v>379.9502682358501</v>
      </c>
      <c r="T44" s="55">
        <f>N43*(1+T43)*(1+S43)</f>
        <v>395.44884272842097</v>
      </c>
      <c r="U44" s="23" t="s">
        <v>750</v>
      </c>
      <c r="V44" s="23"/>
      <c r="W44" s="23"/>
      <c r="X44" s="23"/>
      <c r="Y44" s="23"/>
      <c r="Z44" s="23"/>
    </row>
    <row r="45" spans="3:26" x14ac:dyDescent="0.3">
      <c r="C45">
        <v>21</v>
      </c>
      <c r="D45">
        <v>3681.35</v>
      </c>
      <c r="E45" t="s">
        <v>650</v>
      </c>
      <c r="F45">
        <v>4107.01</v>
      </c>
      <c r="G45" t="s">
        <v>650</v>
      </c>
      <c r="H45">
        <v>2705.42</v>
      </c>
      <c r="I45" t="s">
        <v>650</v>
      </c>
      <c r="K45" t="str">
        <f t="shared" si="0"/>
        <v>No</v>
      </c>
      <c r="M45" t="s">
        <v>380</v>
      </c>
      <c r="N45" s="55">
        <f t="shared" si="1"/>
        <v>280.36267249999969</v>
      </c>
      <c r="O45" s="55">
        <f t="shared" si="1"/>
        <v>289.20646833333342</v>
      </c>
      <c r="P45" s="55">
        <f t="shared" si="1"/>
        <v>313.48371999999995</v>
      </c>
      <c r="R45" t="s">
        <v>749</v>
      </c>
      <c r="S45" s="55">
        <f>O43</f>
        <v>361.91596666666686</v>
      </c>
      <c r="T45" s="55">
        <f>P43</f>
        <v>401.4628583333332</v>
      </c>
      <c r="V45" s="55"/>
    </row>
    <row r="46" spans="3:26" x14ac:dyDescent="0.3">
      <c r="C46">
        <v>22</v>
      </c>
      <c r="D46">
        <v>2960.81</v>
      </c>
      <c r="E46" t="s">
        <v>650</v>
      </c>
      <c r="F46">
        <v>2655.3</v>
      </c>
      <c r="G46" t="s">
        <v>650</v>
      </c>
      <c r="H46">
        <v>3537.75</v>
      </c>
      <c r="I46" t="s">
        <v>650</v>
      </c>
      <c r="K46" t="str">
        <f t="shared" si="0"/>
        <v>No</v>
      </c>
      <c r="R46" t="s">
        <v>748</v>
      </c>
      <c r="S46" s="55">
        <f>S44-S45</f>
        <v>18.034301569183242</v>
      </c>
      <c r="T46" s="55">
        <f>T44-T45</f>
        <v>-6.0140156049122311</v>
      </c>
      <c r="V46" s="55"/>
    </row>
    <row r="47" spans="3:26" x14ac:dyDescent="0.3">
      <c r="C47">
        <v>23</v>
      </c>
      <c r="D47">
        <v>3011.59</v>
      </c>
      <c r="E47" t="s">
        <v>650</v>
      </c>
      <c r="F47">
        <v>1330.1</v>
      </c>
      <c r="G47" t="s">
        <v>650</v>
      </c>
      <c r="H47">
        <v>3734.62</v>
      </c>
      <c r="I47" t="s">
        <v>650</v>
      </c>
      <c r="K47" t="str">
        <f t="shared" si="0"/>
        <v>No</v>
      </c>
      <c r="R47" t="s">
        <v>747</v>
      </c>
      <c r="S47" s="55">
        <f>S46*O36*12</f>
        <v>54102.904707549722</v>
      </c>
      <c r="T47" s="55">
        <f>T46*P36*12</f>
        <v>-21650.456177684031</v>
      </c>
      <c r="V47" s="55"/>
    </row>
    <row r="48" spans="3:26" x14ac:dyDescent="0.3">
      <c r="C48">
        <v>24</v>
      </c>
      <c r="D48">
        <v>3221.24</v>
      </c>
      <c r="E48" t="s">
        <v>650</v>
      </c>
      <c r="F48">
        <v>3787.08</v>
      </c>
      <c r="G48" t="s">
        <v>650</v>
      </c>
      <c r="H48">
        <v>2859.07</v>
      </c>
      <c r="I48" t="s">
        <v>650</v>
      </c>
      <c r="K48" t="str">
        <f t="shared" si="0"/>
        <v>No</v>
      </c>
      <c r="M48" s="148" t="s">
        <v>756</v>
      </c>
      <c r="N48" s="6"/>
      <c r="O48" s="6"/>
      <c r="P48" s="6"/>
      <c r="R48" t="s">
        <v>746</v>
      </c>
      <c r="S48" s="70">
        <f>S47/O31</f>
        <v>1.5589469413593194E-2</v>
      </c>
      <c r="T48" s="70">
        <f>T47/P31</f>
        <v>-5.7553377300539549E-3</v>
      </c>
      <c r="V48" s="49"/>
    </row>
    <row r="49" spans="3:20" x14ac:dyDescent="0.3">
      <c r="C49">
        <v>25</v>
      </c>
      <c r="D49">
        <v>2543.1999999999998</v>
      </c>
      <c r="E49" t="s">
        <v>650</v>
      </c>
      <c r="F49">
        <v>3992.66</v>
      </c>
      <c r="G49" t="s">
        <v>650</v>
      </c>
      <c r="H49">
        <v>2799.3</v>
      </c>
      <c r="I49" t="s">
        <v>650</v>
      </c>
      <c r="K49" t="str">
        <f t="shared" si="0"/>
        <v>No</v>
      </c>
    </row>
    <row r="50" spans="3:20" x14ac:dyDescent="0.3">
      <c r="C50">
        <v>26</v>
      </c>
      <c r="D50">
        <v>3122.45</v>
      </c>
      <c r="E50" t="s">
        <v>650</v>
      </c>
      <c r="F50">
        <v>4021.85</v>
      </c>
      <c r="G50" t="s">
        <v>650</v>
      </c>
      <c r="H50">
        <v>3295.12</v>
      </c>
      <c r="I50" t="s">
        <v>650</v>
      </c>
      <c r="K50" t="str">
        <f t="shared" si="0"/>
        <v>No</v>
      </c>
      <c r="N50" t="s">
        <v>226</v>
      </c>
    </row>
    <row r="51" spans="3:20" x14ac:dyDescent="0.3">
      <c r="C51">
        <v>27</v>
      </c>
      <c r="D51">
        <v>3217.22</v>
      </c>
      <c r="E51" t="s">
        <v>650</v>
      </c>
      <c r="F51">
        <v>2301.6799999999998</v>
      </c>
      <c r="G51" t="s">
        <v>650</v>
      </c>
      <c r="H51">
        <v>3327.2</v>
      </c>
      <c r="I51" t="s">
        <v>650</v>
      </c>
      <c r="K51" t="str">
        <f t="shared" si="0"/>
        <v>No</v>
      </c>
      <c r="M51" t="s">
        <v>754</v>
      </c>
      <c r="N51" t="s">
        <v>662</v>
      </c>
      <c r="O51" t="s">
        <v>132</v>
      </c>
      <c r="P51" t="s">
        <v>753</v>
      </c>
    </row>
    <row r="52" spans="3:20" x14ac:dyDescent="0.3">
      <c r="C52">
        <v>28</v>
      </c>
      <c r="D52">
        <v>2655.38</v>
      </c>
      <c r="E52" t="s">
        <v>650</v>
      </c>
      <c r="F52">
        <v>2573.0700000000002</v>
      </c>
      <c r="G52" t="s">
        <v>650</v>
      </c>
      <c r="H52">
        <v>3422.14</v>
      </c>
      <c r="I52" t="s">
        <v>650</v>
      </c>
      <c r="K52" t="str">
        <f t="shared" si="0"/>
        <v>No</v>
      </c>
      <c r="M52" t="s">
        <v>649</v>
      </c>
      <c r="N52" s="55">
        <f>SUMIFS($D$25:$D$1024,$K$25:$K$1024,$M52)</f>
        <v>1334827.8599999999</v>
      </c>
      <c r="O52" s="55">
        <f>SUMIFS($F$25:$F$1024,$K$25:$K$1024,$M52)</f>
        <v>1355104.5999999999</v>
      </c>
      <c r="P52" s="55">
        <f>SUMIFS($H$25:$H$1024,$K$25:$K$1024,$M52)</f>
        <v>1445266.2899999996</v>
      </c>
    </row>
    <row r="53" spans="3:20" x14ac:dyDescent="0.3">
      <c r="C53">
        <v>29</v>
      </c>
      <c r="D53">
        <v>2714.27</v>
      </c>
      <c r="E53" t="s">
        <v>650</v>
      </c>
      <c r="F53">
        <v>3006.92</v>
      </c>
      <c r="G53" t="s">
        <v>650</v>
      </c>
      <c r="H53">
        <v>2847.07</v>
      </c>
      <c r="I53" t="s">
        <v>650</v>
      </c>
      <c r="K53" t="str">
        <f t="shared" si="0"/>
        <v>No</v>
      </c>
      <c r="M53" t="s">
        <v>650</v>
      </c>
      <c r="N53" s="55">
        <f>SUMIFS($D$25:$D$1024,$K$25:$K$1024,$M53)</f>
        <v>2029524.2099999981</v>
      </c>
      <c r="O53" s="55">
        <f>SUMIFS($F$25:$F$1024,$K$25:$K$1024,$M53)</f>
        <v>2115373.0200000014</v>
      </c>
      <c r="P53" s="55">
        <f>SUMIFS($H$25:$H$1024,$K$25:$K$1024,$M53)</f>
        <v>2316538.3499999996</v>
      </c>
    </row>
    <row r="54" spans="3:20" x14ac:dyDescent="0.3">
      <c r="C54">
        <v>30</v>
      </c>
      <c r="D54">
        <v>3326.87</v>
      </c>
      <c r="E54" t="s">
        <v>650</v>
      </c>
      <c r="F54">
        <v>2242.44</v>
      </c>
      <c r="G54" t="s">
        <v>650</v>
      </c>
      <c r="H54">
        <v>3761.37</v>
      </c>
      <c r="I54" t="s">
        <v>650</v>
      </c>
      <c r="K54" t="str">
        <f t="shared" si="0"/>
        <v>No</v>
      </c>
      <c r="M54" t="s">
        <v>380</v>
      </c>
      <c r="N54" s="55">
        <f>SUM(N52:N53)</f>
        <v>3364352.069999998</v>
      </c>
      <c r="O54" s="55">
        <f>SUM(O52:O53)</f>
        <v>3470477.620000001</v>
      </c>
      <c r="P54" s="55">
        <f>SUM(P52:P53)</f>
        <v>3761804.6399999992</v>
      </c>
    </row>
    <row r="55" spans="3:20" x14ac:dyDescent="0.3">
      <c r="C55">
        <v>31</v>
      </c>
      <c r="D55">
        <v>2476.23</v>
      </c>
      <c r="E55" t="s">
        <v>650</v>
      </c>
      <c r="F55">
        <v>2306.17</v>
      </c>
      <c r="G55" t="s">
        <v>650</v>
      </c>
      <c r="H55">
        <v>4986.51</v>
      </c>
      <c r="I55" t="s">
        <v>650</v>
      </c>
      <c r="K55" t="str">
        <f t="shared" si="0"/>
        <v>No</v>
      </c>
    </row>
    <row r="56" spans="3:20" x14ac:dyDescent="0.3">
      <c r="C56">
        <v>32</v>
      </c>
      <c r="D56">
        <v>2762.58</v>
      </c>
      <c r="E56" t="s">
        <v>650</v>
      </c>
      <c r="F56">
        <v>2487.4899999999998</v>
      </c>
      <c r="G56" t="s">
        <v>650</v>
      </c>
      <c r="H56">
        <v>3590.71</v>
      </c>
      <c r="I56" t="s">
        <v>650</v>
      </c>
      <c r="K56" t="str">
        <f t="shared" si="0"/>
        <v>No</v>
      </c>
    </row>
    <row r="57" spans="3:20" x14ac:dyDescent="0.3">
      <c r="C57">
        <v>33</v>
      </c>
      <c r="D57">
        <v>2476.38</v>
      </c>
      <c r="E57" t="s">
        <v>650</v>
      </c>
      <c r="F57">
        <v>2158.1799999999998</v>
      </c>
      <c r="G57" t="s">
        <v>650</v>
      </c>
      <c r="H57">
        <v>2582.63</v>
      </c>
      <c r="I57" t="s">
        <v>650</v>
      </c>
      <c r="K57" t="str">
        <f t="shared" si="0"/>
        <v>No</v>
      </c>
      <c r="N57" t="s">
        <v>464</v>
      </c>
    </row>
    <row r="58" spans="3:20" x14ac:dyDescent="0.3">
      <c r="C58">
        <v>34</v>
      </c>
      <c r="D58">
        <v>3422.28</v>
      </c>
      <c r="E58" t="s">
        <v>650</v>
      </c>
      <c r="F58">
        <v>1873.87</v>
      </c>
      <c r="G58" t="s">
        <v>650</v>
      </c>
      <c r="H58">
        <v>3154.44</v>
      </c>
      <c r="I58" t="s">
        <v>650</v>
      </c>
      <c r="K58" t="str">
        <f t="shared" si="0"/>
        <v>No</v>
      </c>
      <c r="M58" t="s">
        <v>754</v>
      </c>
      <c r="N58" t="s">
        <v>662</v>
      </c>
      <c r="O58" t="s">
        <v>132</v>
      </c>
      <c r="P58" t="s">
        <v>753</v>
      </c>
    </row>
    <row r="59" spans="3:20" x14ac:dyDescent="0.3">
      <c r="C59">
        <v>35</v>
      </c>
      <c r="D59">
        <v>3069.06</v>
      </c>
      <c r="E59" t="s">
        <v>650</v>
      </c>
      <c r="F59">
        <v>2002.73</v>
      </c>
      <c r="G59" t="s">
        <v>650</v>
      </c>
      <c r="H59">
        <v>3726.29</v>
      </c>
      <c r="I59" t="s">
        <v>650</v>
      </c>
      <c r="K59" t="str">
        <f t="shared" si="0"/>
        <v>No</v>
      </c>
      <c r="M59" t="s">
        <v>649</v>
      </c>
      <c r="N59" s="147">
        <f t="shared" ref="N59:P60" si="2">COUNTIFS($K$25:$K$1024,$M59)</f>
        <v>300</v>
      </c>
      <c r="O59" s="147">
        <f t="shared" si="2"/>
        <v>300</v>
      </c>
      <c r="P59" s="147">
        <f t="shared" si="2"/>
        <v>300</v>
      </c>
    </row>
    <row r="60" spans="3:20" x14ac:dyDescent="0.3">
      <c r="C60">
        <v>36</v>
      </c>
      <c r="D60">
        <v>1670.8</v>
      </c>
      <c r="E60" t="s">
        <v>650</v>
      </c>
      <c r="F60">
        <v>3253.1</v>
      </c>
      <c r="G60" t="s">
        <v>650</v>
      </c>
      <c r="H60">
        <v>4630.68</v>
      </c>
      <c r="I60" t="s">
        <v>650</v>
      </c>
      <c r="K60" t="str">
        <f t="shared" si="0"/>
        <v>No</v>
      </c>
      <c r="M60" t="s">
        <v>650</v>
      </c>
      <c r="N60" s="147">
        <f t="shared" si="2"/>
        <v>700</v>
      </c>
      <c r="O60" s="147">
        <f t="shared" si="2"/>
        <v>700</v>
      </c>
      <c r="P60" s="147">
        <f t="shared" si="2"/>
        <v>700</v>
      </c>
    </row>
    <row r="61" spans="3:20" x14ac:dyDescent="0.3">
      <c r="C61">
        <v>37</v>
      </c>
      <c r="D61">
        <v>2552.87</v>
      </c>
      <c r="E61" t="s">
        <v>650</v>
      </c>
      <c r="F61">
        <v>2639</v>
      </c>
      <c r="G61" t="s">
        <v>650</v>
      </c>
      <c r="H61">
        <v>3122.64</v>
      </c>
      <c r="I61" t="s">
        <v>650</v>
      </c>
      <c r="K61" t="str">
        <f t="shared" si="0"/>
        <v>No</v>
      </c>
      <c r="M61" t="s">
        <v>380</v>
      </c>
      <c r="N61" s="147">
        <f>SUM(N59:N60)</f>
        <v>1000</v>
      </c>
      <c r="O61" s="147">
        <f>SUM(O59:O60)</f>
        <v>1000</v>
      </c>
      <c r="P61" s="147">
        <f>SUM(P59:P60)</f>
        <v>1000</v>
      </c>
    </row>
    <row r="62" spans="3:20" x14ac:dyDescent="0.3">
      <c r="C62">
        <v>38</v>
      </c>
      <c r="D62">
        <v>2952.93</v>
      </c>
      <c r="E62" t="s">
        <v>650</v>
      </c>
      <c r="F62">
        <v>2557.0500000000002</v>
      </c>
      <c r="G62" t="s">
        <v>650</v>
      </c>
      <c r="H62">
        <v>1862.66</v>
      </c>
      <c r="I62" t="s">
        <v>650</v>
      </c>
      <c r="K62" t="str">
        <f t="shared" si="0"/>
        <v>No</v>
      </c>
    </row>
    <row r="63" spans="3:20" x14ac:dyDescent="0.3">
      <c r="C63">
        <v>39</v>
      </c>
      <c r="D63">
        <v>2802.27</v>
      </c>
      <c r="E63" t="s">
        <v>650</v>
      </c>
      <c r="F63">
        <v>2851.73</v>
      </c>
      <c r="G63" t="s">
        <v>650</v>
      </c>
      <c r="H63">
        <v>3429.62</v>
      </c>
      <c r="I63" t="s">
        <v>650</v>
      </c>
      <c r="K63" t="str">
        <f t="shared" si="0"/>
        <v>No</v>
      </c>
      <c r="S63" t="s">
        <v>132</v>
      </c>
      <c r="T63" t="s">
        <v>753</v>
      </c>
    </row>
    <row r="64" spans="3:20" x14ac:dyDescent="0.3">
      <c r="C64">
        <v>40</v>
      </c>
      <c r="D64">
        <v>3420.11</v>
      </c>
      <c r="E64" t="s">
        <v>650</v>
      </c>
      <c r="F64">
        <v>2165.4699999999998</v>
      </c>
      <c r="G64" t="s">
        <v>650</v>
      </c>
      <c r="H64">
        <v>2299.25</v>
      </c>
      <c r="I64" t="s">
        <v>650</v>
      </c>
      <c r="K64" t="str">
        <f t="shared" si="0"/>
        <v>No</v>
      </c>
      <c r="N64" t="s">
        <v>466</v>
      </c>
      <c r="R64" t="s">
        <v>755</v>
      </c>
      <c r="S64" s="94">
        <f>O66/N66-1</f>
        <v>1.5190528013102611E-2</v>
      </c>
      <c r="T64" s="94">
        <f>P66/O66-1</f>
        <v>6.653485642362944E-2</v>
      </c>
    </row>
    <row r="65" spans="3:26" x14ac:dyDescent="0.3">
      <c r="C65">
        <v>41</v>
      </c>
      <c r="D65">
        <v>2685.8</v>
      </c>
      <c r="E65" t="s">
        <v>650</v>
      </c>
      <c r="F65">
        <v>3312.15</v>
      </c>
      <c r="G65" t="s">
        <v>650</v>
      </c>
      <c r="H65">
        <v>4418.68</v>
      </c>
      <c r="I65" t="s">
        <v>650</v>
      </c>
      <c r="K65" t="str">
        <f t="shared" si="0"/>
        <v>No</v>
      </c>
      <c r="M65" t="s">
        <v>754</v>
      </c>
      <c r="N65" t="s">
        <v>662</v>
      </c>
      <c r="O65" t="s">
        <v>132</v>
      </c>
      <c r="P65" t="s">
        <v>753</v>
      </c>
      <c r="R65" t="s">
        <v>752</v>
      </c>
      <c r="S65" s="94">
        <f>O67/N67-1</f>
        <v>4.2299968424620804E-2</v>
      </c>
      <c r="T65" s="94">
        <f>P67/O67-1</f>
        <v>9.5096859087291596E-2</v>
      </c>
    </row>
    <row r="66" spans="3:26" x14ac:dyDescent="0.3">
      <c r="C66">
        <v>42</v>
      </c>
      <c r="D66">
        <v>3658.79</v>
      </c>
      <c r="E66" t="s">
        <v>650</v>
      </c>
      <c r="F66">
        <v>3203.07</v>
      </c>
      <c r="G66" t="s">
        <v>650</v>
      </c>
      <c r="H66">
        <v>3285.19</v>
      </c>
      <c r="I66" t="s">
        <v>650</v>
      </c>
      <c r="K66" t="str">
        <f t="shared" si="0"/>
        <v>No</v>
      </c>
      <c r="M66" t="s">
        <v>649</v>
      </c>
      <c r="N66" s="55">
        <f t="shared" ref="N66:P68" si="3">N52/(N59*12)</f>
        <v>370.78551666666664</v>
      </c>
      <c r="O66" s="55">
        <f t="shared" si="3"/>
        <v>376.4179444444444</v>
      </c>
      <c r="P66" s="55">
        <f t="shared" si="3"/>
        <v>401.4628583333332</v>
      </c>
      <c r="R66" t="s">
        <v>751</v>
      </c>
      <c r="S66" s="55">
        <f>N66*(1+S65)</f>
        <v>386.46973231397334</v>
      </c>
      <c r="T66" s="55">
        <f>N66*(1+T65)*(1+S65)</f>
        <v>423.22178998933862</v>
      </c>
      <c r="U66" s="23" t="s">
        <v>750</v>
      </c>
      <c r="V66" s="23"/>
      <c r="W66" s="23"/>
      <c r="X66" s="23"/>
      <c r="Y66" s="23"/>
      <c r="Z66" s="23"/>
    </row>
    <row r="67" spans="3:26" x14ac:dyDescent="0.3">
      <c r="C67">
        <v>43</v>
      </c>
      <c r="D67">
        <v>3149.68</v>
      </c>
      <c r="E67" t="s">
        <v>650</v>
      </c>
      <c r="F67">
        <v>3331.85</v>
      </c>
      <c r="G67" t="s">
        <v>650</v>
      </c>
      <c r="H67">
        <v>3239.46</v>
      </c>
      <c r="I67" t="s">
        <v>650</v>
      </c>
      <c r="K67" t="str">
        <f t="shared" si="0"/>
        <v>No</v>
      </c>
      <c r="M67" t="s">
        <v>650</v>
      </c>
      <c r="N67" s="55">
        <f t="shared" si="3"/>
        <v>241.61002499999978</v>
      </c>
      <c r="O67" s="55">
        <f t="shared" si="3"/>
        <v>251.8301214285716</v>
      </c>
      <c r="P67" s="55">
        <f t="shared" si="3"/>
        <v>275.77837499999998</v>
      </c>
      <c r="R67" t="s">
        <v>749</v>
      </c>
      <c r="S67" s="55">
        <f>O66</f>
        <v>376.4179444444444</v>
      </c>
      <c r="T67" s="55">
        <f>P66</f>
        <v>401.4628583333332</v>
      </c>
      <c r="V67" s="55"/>
    </row>
    <row r="68" spans="3:26" x14ac:dyDescent="0.3">
      <c r="C68">
        <v>44</v>
      </c>
      <c r="D68">
        <v>3787.74</v>
      </c>
      <c r="E68" t="s">
        <v>650</v>
      </c>
      <c r="F68">
        <v>1549.23</v>
      </c>
      <c r="G68" t="s">
        <v>650</v>
      </c>
      <c r="H68">
        <v>4014.38</v>
      </c>
      <c r="I68" t="s">
        <v>650</v>
      </c>
      <c r="K68" t="str">
        <f t="shared" si="0"/>
        <v>No</v>
      </c>
      <c r="M68" t="s">
        <v>380</v>
      </c>
      <c r="N68" s="55">
        <f t="shared" si="3"/>
        <v>280.3626724999998</v>
      </c>
      <c r="O68" s="55">
        <f t="shared" si="3"/>
        <v>289.20646833333342</v>
      </c>
      <c r="P68" s="55">
        <f t="shared" si="3"/>
        <v>313.48371999999995</v>
      </c>
      <c r="R68" t="s">
        <v>748</v>
      </c>
      <c r="S68" s="55">
        <f>S66-S67</f>
        <v>10.051787869528937</v>
      </c>
      <c r="T68" s="55">
        <f>T66-T67</f>
        <v>21.758931656005416</v>
      </c>
      <c r="V68" s="55"/>
    </row>
    <row r="69" spans="3:26" x14ac:dyDescent="0.3">
      <c r="C69">
        <v>45</v>
      </c>
      <c r="D69">
        <v>3562.35</v>
      </c>
      <c r="E69" t="s">
        <v>650</v>
      </c>
      <c r="F69">
        <v>3075.27</v>
      </c>
      <c r="G69" t="s">
        <v>650</v>
      </c>
      <c r="H69">
        <v>2481.38</v>
      </c>
      <c r="I69" t="s">
        <v>650</v>
      </c>
      <c r="K69" t="str">
        <f t="shared" si="0"/>
        <v>No</v>
      </c>
      <c r="R69" t="s">
        <v>747</v>
      </c>
      <c r="S69" s="55">
        <f>S68*O59*12</f>
        <v>36186.436330304175</v>
      </c>
      <c r="T69" s="55">
        <f>T68*P59*12</f>
        <v>78332.153961619493</v>
      </c>
      <c r="V69" s="55"/>
    </row>
    <row r="70" spans="3:26" x14ac:dyDescent="0.3">
      <c r="C70">
        <v>46</v>
      </c>
      <c r="D70">
        <v>2949.46</v>
      </c>
      <c r="E70" t="s">
        <v>650</v>
      </c>
      <c r="F70">
        <v>3446.32</v>
      </c>
      <c r="G70" t="s">
        <v>650</v>
      </c>
      <c r="H70">
        <v>3620.99</v>
      </c>
      <c r="I70" t="s">
        <v>650</v>
      </c>
      <c r="K70" t="str">
        <f t="shared" si="0"/>
        <v>No</v>
      </c>
      <c r="R70" t="s">
        <v>746</v>
      </c>
      <c r="S70" s="70">
        <f>S69/O54</f>
        <v>1.0426932627879665E-2</v>
      </c>
      <c r="T70" s="70">
        <f>T69/P54</f>
        <v>2.0823025504487523E-2</v>
      </c>
      <c r="V70" s="49"/>
    </row>
    <row r="71" spans="3:26" x14ac:dyDescent="0.3">
      <c r="C71">
        <v>47</v>
      </c>
      <c r="D71">
        <v>2621.49</v>
      </c>
      <c r="E71" t="s">
        <v>650</v>
      </c>
      <c r="F71">
        <v>4065.18</v>
      </c>
      <c r="G71" t="s">
        <v>650</v>
      </c>
      <c r="H71">
        <v>1950.55</v>
      </c>
      <c r="I71" t="s">
        <v>650</v>
      </c>
      <c r="K71" t="str">
        <f t="shared" si="0"/>
        <v>No</v>
      </c>
    </row>
    <row r="72" spans="3:26" x14ac:dyDescent="0.3">
      <c r="C72">
        <v>48</v>
      </c>
      <c r="D72">
        <v>3023.91</v>
      </c>
      <c r="E72" t="s">
        <v>650</v>
      </c>
      <c r="F72">
        <v>3162</v>
      </c>
      <c r="G72" t="s">
        <v>650</v>
      </c>
      <c r="H72">
        <v>3062.53</v>
      </c>
      <c r="I72" t="s">
        <v>650</v>
      </c>
      <c r="K72" t="str">
        <f t="shared" si="0"/>
        <v>No</v>
      </c>
    </row>
    <row r="73" spans="3:26" x14ac:dyDescent="0.3">
      <c r="C73">
        <v>49</v>
      </c>
      <c r="D73">
        <v>2316.11</v>
      </c>
      <c r="E73" t="s">
        <v>650</v>
      </c>
      <c r="F73">
        <v>3902.24</v>
      </c>
      <c r="G73" t="s">
        <v>650</v>
      </c>
      <c r="H73">
        <v>3709.64</v>
      </c>
      <c r="I73" t="s">
        <v>650</v>
      </c>
      <c r="K73" t="str">
        <f t="shared" si="0"/>
        <v>No</v>
      </c>
    </row>
    <row r="74" spans="3:26" x14ac:dyDescent="0.3">
      <c r="C74">
        <v>50</v>
      </c>
      <c r="D74">
        <v>3368.21</v>
      </c>
      <c r="E74" t="s">
        <v>650</v>
      </c>
      <c r="F74">
        <v>2955.78</v>
      </c>
      <c r="G74" t="s">
        <v>650</v>
      </c>
      <c r="H74">
        <v>1820.43</v>
      </c>
      <c r="I74" t="s">
        <v>650</v>
      </c>
      <c r="K74" t="str">
        <f t="shared" si="0"/>
        <v>No</v>
      </c>
    </row>
    <row r="75" spans="3:26" x14ac:dyDescent="0.3">
      <c r="C75">
        <v>51</v>
      </c>
      <c r="D75">
        <v>2996.78</v>
      </c>
      <c r="E75" t="s">
        <v>650</v>
      </c>
      <c r="F75">
        <v>2731.78</v>
      </c>
      <c r="G75" t="s">
        <v>650</v>
      </c>
      <c r="H75">
        <v>3447.39</v>
      </c>
      <c r="I75" t="s">
        <v>650</v>
      </c>
      <c r="K75" t="str">
        <f t="shared" si="0"/>
        <v>No</v>
      </c>
    </row>
    <row r="76" spans="3:26" x14ac:dyDescent="0.3">
      <c r="C76">
        <v>52</v>
      </c>
      <c r="D76">
        <v>2231.08</v>
      </c>
      <c r="E76" t="s">
        <v>650</v>
      </c>
      <c r="F76">
        <v>1925.25</v>
      </c>
      <c r="G76" t="s">
        <v>650</v>
      </c>
      <c r="H76">
        <v>3141.29</v>
      </c>
      <c r="I76" t="s">
        <v>650</v>
      </c>
      <c r="K76" t="str">
        <f t="shared" si="0"/>
        <v>No</v>
      </c>
    </row>
    <row r="77" spans="3:26" x14ac:dyDescent="0.3">
      <c r="C77">
        <v>53</v>
      </c>
      <c r="D77">
        <v>3521.69</v>
      </c>
      <c r="E77" t="s">
        <v>650</v>
      </c>
      <c r="F77">
        <v>2125.19</v>
      </c>
      <c r="G77" t="s">
        <v>650</v>
      </c>
      <c r="H77">
        <v>4235</v>
      </c>
      <c r="I77" t="s">
        <v>650</v>
      </c>
      <c r="K77" t="str">
        <f t="shared" si="0"/>
        <v>No</v>
      </c>
    </row>
    <row r="78" spans="3:26" x14ac:dyDescent="0.3">
      <c r="C78">
        <v>54</v>
      </c>
      <c r="D78">
        <v>4207.08</v>
      </c>
      <c r="E78" t="s">
        <v>650</v>
      </c>
      <c r="F78">
        <v>2951.66</v>
      </c>
      <c r="G78" t="s">
        <v>650</v>
      </c>
      <c r="H78">
        <v>3530.52</v>
      </c>
      <c r="I78" t="s">
        <v>650</v>
      </c>
      <c r="K78" t="str">
        <f t="shared" si="0"/>
        <v>No</v>
      </c>
    </row>
    <row r="79" spans="3:26" x14ac:dyDescent="0.3">
      <c r="C79">
        <v>55</v>
      </c>
      <c r="D79">
        <v>1934.71</v>
      </c>
      <c r="E79" t="s">
        <v>650</v>
      </c>
      <c r="F79">
        <v>3486.36</v>
      </c>
      <c r="G79" t="s">
        <v>650</v>
      </c>
      <c r="H79">
        <v>2825.85</v>
      </c>
      <c r="I79" t="s">
        <v>650</v>
      </c>
      <c r="K79" t="str">
        <f t="shared" si="0"/>
        <v>No</v>
      </c>
    </row>
    <row r="80" spans="3:26" x14ac:dyDescent="0.3">
      <c r="C80">
        <v>56</v>
      </c>
      <c r="D80">
        <v>2834.78</v>
      </c>
      <c r="E80" t="s">
        <v>650</v>
      </c>
      <c r="F80">
        <v>2075.08</v>
      </c>
      <c r="G80" t="s">
        <v>650</v>
      </c>
      <c r="H80">
        <v>3724.2</v>
      </c>
      <c r="I80" t="s">
        <v>650</v>
      </c>
      <c r="K80" t="str">
        <f t="shared" si="0"/>
        <v>No</v>
      </c>
    </row>
    <row r="81" spans="3:20" x14ac:dyDescent="0.3">
      <c r="C81">
        <v>57</v>
      </c>
      <c r="D81">
        <v>2321.11</v>
      </c>
      <c r="E81" t="s">
        <v>650</v>
      </c>
      <c r="F81">
        <v>1765.37</v>
      </c>
      <c r="G81" t="s">
        <v>650</v>
      </c>
      <c r="H81">
        <v>3915.36</v>
      </c>
      <c r="I81" t="s">
        <v>650</v>
      </c>
      <c r="K81" t="str">
        <f t="shared" si="0"/>
        <v>No</v>
      </c>
    </row>
    <row r="82" spans="3:20" x14ac:dyDescent="0.3">
      <c r="C82">
        <v>58</v>
      </c>
      <c r="D82">
        <v>1809.76</v>
      </c>
      <c r="E82" t="s">
        <v>650</v>
      </c>
      <c r="F82">
        <v>2563.4899999999998</v>
      </c>
      <c r="G82" t="s">
        <v>650</v>
      </c>
      <c r="H82">
        <v>2588.71</v>
      </c>
      <c r="I82" t="s">
        <v>650</v>
      </c>
      <c r="K82" t="str">
        <f t="shared" si="0"/>
        <v>No</v>
      </c>
      <c r="S82">
        <f>S69/$C$14</f>
        <v>0.18093218165152089</v>
      </c>
      <c r="T82">
        <f>T69/$C$14</f>
        <v>0.39166076980809744</v>
      </c>
    </row>
    <row r="83" spans="3:20" x14ac:dyDescent="0.3">
      <c r="C83">
        <v>59</v>
      </c>
      <c r="D83">
        <v>3388.64</v>
      </c>
      <c r="E83" t="s">
        <v>650</v>
      </c>
      <c r="F83">
        <v>2527.71</v>
      </c>
      <c r="G83" t="s">
        <v>650</v>
      </c>
      <c r="H83">
        <v>2717.98</v>
      </c>
      <c r="I83" t="s">
        <v>650</v>
      </c>
      <c r="K83" t="str">
        <f t="shared" si="0"/>
        <v>No</v>
      </c>
    </row>
    <row r="84" spans="3:20" x14ac:dyDescent="0.3">
      <c r="C84">
        <v>60</v>
      </c>
      <c r="D84">
        <v>3205.58</v>
      </c>
      <c r="E84" t="s">
        <v>650</v>
      </c>
      <c r="F84">
        <v>3665.31</v>
      </c>
      <c r="G84" t="s">
        <v>650</v>
      </c>
      <c r="H84">
        <v>3648.59</v>
      </c>
      <c r="I84" t="s">
        <v>650</v>
      </c>
      <c r="K84" t="str">
        <f t="shared" si="0"/>
        <v>No</v>
      </c>
    </row>
    <row r="85" spans="3:20" x14ac:dyDescent="0.3">
      <c r="C85">
        <v>61</v>
      </c>
      <c r="D85">
        <v>3518.49</v>
      </c>
      <c r="E85" t="s">
        <v>650</v>
      </c>
      <c r="F85">
        <v>2402.88</v>
      </c>
      <c r="G85" t="s">
        <v>650</v>
      </c>
      <c r="H85">
        <v>2955.89</v>
      </c>
      <c r="I85" t="s">
        <v>650</v>
      </c>
      <c r="K85" t="str">
        <f t="shared" si="0"/>
        <v>No</v>
      </c>
    </row>
    <row r="86" spans="3:20" x14ac:dyDescent="0.3">
      <c r="C86">
        <v>62</v>
      </c>
      <c r="D86">
        <v>1491.41</v>
      </c>
      <c r="E86" t="s">
        <v>650</v>
      </c>
      <c r="F86">
        <v>2589.9499999999998</v>
      </c>
      <c r="G86" t="s">
        <v>650</v>
      </c>
      <c r="H86">
        <v>2389.7600000000002</v>
      </c>
      <c r="I86" t="s">
        <v>650</v>
      </c>
      <c r="K86" t="str">
        <f t="shared" si="0"/>
        <v>No</v>
      </c>
    </row>
    <row r="87" spans="3:20" x14ac:dyDescent="0.3">
      <c r="C87">
        <v>63</v>
      </c>
      <c r="D87">
        <v>3532.07</v>
      </c>
      <c r="E87" t="s">
        <v>650</v>
      </c>
      <c r="F87">
        <v>3902.85</v>
      </c>
      <c r="G87" t="s">
        <v>650</v>
      </c>
      <c r="H87">
        <v>2154.06</v>
      </c>
      <c r="I87" t="s">
        <v>650</v>
      </c>
      <c r="K87" t="str">
        <f t="shared" si="0"/>
        <v>No</v>
      </c>
    </row>
    <row r="88" spans="3:20" x14ac:dyDescent="0.3">
      <c r="C88">
        <v>64</v>
      </c>
      <c r="D88">
        <v>2646.75</v>
      </c>
      <c r="E88" t="s">
        <v>650</v>
      </c>
      <c r="F88">
        <v>2108.69</v>
      </c>
      <c r="G88" t="s">
        <v>650</v>
      </c>
      <c r="H88">
        <v>3544.6</v>
      </c>
      <c r="I88" t="s">
        <v>650</v>
      </c>
      <c r="K88" t="str">
        <f t="shared" si="0"/>
        <v>No</v>
      </c>
    </row>
    <row r="89" spans="3:20" x14ac:dyDescent="0.3">
      <c r="C89">
        <v>65</v>
      </c>
      <c r="D89">
        <v>3041.5</v>
      </c>
      <c r="E89" t="s">
        <v>650</v>
      </c>
      <c r="F89">
        <v>1911.66</v>
      </c>
      <c r="G89" t="s">
        <v>650</v>
      </c>
      <c r="H89">
        <v>2854.08</v>
      </c>
      <c r="I89" t="s">
        <v>650</v>
      </c>
      <c r="K89" t="str">
        <f t="shared" ref="K89:K152" si="4">IF(AND(E89="No",G89="No",I89="No"),"No","Yes")</f>
        <v>No</v>
      </c>
    </row>
    <row r="90" spans="3:20" x14ac:dyDescent="0.3">
      <c r="C90">
        <v>66</v>
      </c>
      <c r="D90">
        <v>2362.62</v>
      </c>
      <c r="E90" t="s">
        <v>650</v>
      </c>
      <c r="F90">
        <v>2463.62</v>
      </c>
      <c r="G90" t="s">
        <v>650</v>
      </c>
      <c r="H90">
        <v>3412.52</v>
      </c>
      <c r="I90" t="s">
        <v>650</v>
      </c>
      <c r="K90" t="str">
        <f t="shared" si="4"/>
        <v>No</v>
      </c>
    </row>
    <row r="91" spans="3:20" x14ac:dyDescent="0.3">
      <c r="C91">
        <v>67</v>
      </c>
      <c r="D91">
        <v>2111.04</v>
      </c>
      <c r="E91" t="s">
        <v>650</v>
      </c>
      <c r="F91">
        <v>3064.63</v>
      </c>
      <c r="G91" t="s">
        <v>650</v>
      </c>
      <c r="H91">
        <v>3421.01</v>
      </c>
      <c r="I91" t="s">
        <v>650</v>
      </c>
      <c r="K91" t="str">
        <f t="shared" si="4"/>
        <v>No</v>
      </c>
    </row>
    <row r="92" spans="3:20" x14ac:dyDescent="0.3">
      <c r="C92">
        <v>68</v>
      </c>
      <c r="D92">
        <v>4023.79</v>
      </c>
      <c r="E92" t="s">
        <v>650</v>
      </c>
      <c r="F92">
        <v>3907.87</v>
      </c>
      <c r="G92" t="s">
        <v>650</v>
      </c>
      <c r="H92">
        <v>2580.7800000000002</v>
      </c>
      <c r="I92" t="s">
        <v>650</v>
      </c>
      <c r="K92" t="str">
        <f t="shared" si="4"/>
        <v>No</v>
      </c>
    </row>
    <row r="93" spans="3:20" x14ac:dyDescent="0.3">
      <c r="C93">
        <v>69</v>
      </c>
      <c r="D93">
        <v>4495.88</v>
      </c>
      <c r="E93" t="s">
        <v>650</v>
      </c>
      <c r="F93">
        <v>3036.04</v>
      </c>
      <c r="G93" t="s">
        <v>650</v>
      </c>
      <c r="H93">
        <v>2698.09</v>
      </c>
      <c r="I93" t="s">
        <v>650</v>
      </c>
      <c r="K93" t="str">
        <f t="shared" si="4"/>
        <v>No</v>
      </c>
    </row>
    <row r="94" spans="3:20" x14ac:dyDescent="0.3">
      <c r="C94">
        <v>70</v>
      </c>
      <c r="D94">
        <v>2667.55</v>
      </c>
      <c r="E94" t="s">
        <v>650</v>
      </c>
      <c r="F94">
        <v>2890.08</v>
      </c>
      <c r="G94" t="s">
        <v>650</v>
      </c>
      <c r="H94">
        <v>2382.6999999999998</v>
      </c>
      <c r="I94" t="s">
        <v>650</v>
      </c>
      <c r="K94" t="str">
        <f t="shared" si="4"/>
        <v>No</v>
      </c>
    </row>
    <row r="95" spans="3:20" x14ac:dyDescent="0.3">
      <c r="C95">
        <v>71</v>
      </c>
      <c r="D95">
        <v>2780.4</v>
      </c>
      <c r="E95" t="s">
        <v>650</v>
      </c>
      <c r="F95">
        <v>3358.86</v>
      </c>
      <c r="G95" t="s">
        <v>650</v>
      </c>
      <c r="H95">
        <v>2785.26</v>
      </c>
      <c r="I95" t="s">
        <v>650</v>
      </c>
      <c r="K95" t="str">
        <f t="shared" si="4"/>
        <v>No</v>
      </c>
    </row>
    <row r="96" spans="3:20" x14ac:dyDescent="0.3">
      <c r="C96">
        <v>72</v>
      </c>
      <c r="D96">
        <v>2513.62</v>
      </c>
      <c r="E96" t="s">
        <v>650</v>
      </c>
      <c r="F96">
        <v>2504.08</v>
      </c>
      <c r="G96" t="s">
        <v>650</v>
      </c>
      <c r="H96">
        <v>4776.43</v>
      </c>
      <c r="I96" t="s">
        <v>650</v>
      </c>
      <c r="K96" t="str">
        <f t="shared" si="4"/>
        <v>No</v>
      </c>
    </row>
    <row r="97" spans="3:11" x14ac:dyDescent="0.3">
      <c r="C97">
        <v>73</v>
      </c>
      <c r="D97">
        <v>1463.88</v>
      </c>
      <c r="E97" t="s">
        <v>650</v>
      </c>
      <c r="F97">
        <v>2635.93</v>
      </c>
      <c r="G97" t="s">
        <v>650</v>
      </c>
      <c r="H97">
        <v>3514.89</v>
      </c>
      <c r="I97" t="s">
        <v>650</v>
      </c>
      <c r="K97" t="str">
        <f t="shared" si="4"/>
        <v>No</v>
      </c>
    </row>
    <row r="98" spans="3:11" x14ac:dyDescent="0.3">
      <c r="C98">
        <v>74</v>
      </c>
      <c r="D98">
        <v>3076.74</v>
      </c>
      <c r="E98" t="s">
        <v>650</v>
      </c>
      <c r="F98">
        <v>2908.07</v>
      </c>
      <c r="G98" t="s">
        <v>650</v>
      </c>
      <c r="H98">
        <v>2556.79</v>
      </c>
      <c r="I98" t="s">
        <v>650</v>
      </c>
      <c r="K98" t="str">
        <f t="shared" si="4"/>
        <v>No</v>
      </c>
    </row>
    <row r="99" spans="3:11" x14ac:dyDescent="0.3">
      <c r="C99">
        <v>75</v>
      </c>
      <c r="D99">
        <v>3127.47</v>
      </c>
      <c r="E99" t="s">
        <v>650</v>
      </c>
      <c r="F99">
        <v>3262.69</v>
      </c>
      <c r="G99" t="s">
        <v>650</v>
      </c>
      <c r="H99">
        <v>3686.58</v>
      </c>
      <c r="I99" t="s">
        <v>650</v>
      </c>
      <c r="K99" t="str">
        <f t="shared" si="4"/>
        <v>No</v>
      </c>
    </row>
    <row r="100" spans="3:11" x14ac:dyDescent="0.3">
      <c r="C100">
        <v>76</v>
      </c>
      <c r="D100">
        <v>2900.09</v>
      </c>
      <c r="E100" t="s">
        <v>650</v>
      </c>
      <c r="F100">
        <v>3195.45</v>
      </c>
      <c r="G100" t="s">
        <v>650</v>
      </c>
      <c r="H100">
        <v>4124.26</v>
      </c>
      <c r="I100" t="s">
        <v>650</v>
      </c>
      <c r="K100" t="str">
        <f t="shared" si="4"/>
        <v>No</v>
      </c>
    </row>
    <row r="101" spans="3:11" x14ac:dyDescent="0.3">
      <c r="C101">
        <v>77</v>
      </c>
      <c r="D101">
        <v>3144.63</v>
      </c>
      <c r="E101" t="s">
        <v>650</v>
      </c>
      <c r="F101">
        <v>2606.77</v>
      </c>
      <c r="G101" t="s">
        <v>650</v>
      </c>
      <c r="H101">
        <v>3556.81</v>
      </c>
      <c r="I101" t="s">
        <v>650</v>
      </c>
      <c r="K101" t="str">
        <f t="shared" si="4"/>
        <v>No</v>
      </c>
    </row>
    <row r="102" spans="3:11" x14ac:dyDescent="0.3">
      <c r="C102">
        <v>78</v>
      </c>
      <c r="D102">
        <v>2590.64</v>
      </c>
      <c r="E102" t="s">
        <v>650</v>
      </c>
      <c r="F102">
        <v>3236.68</v>
      </c>
      <c r="G102" t="s">
        <v>650</v>
      </c>
      <c r="H102">
        <v>4016.82</v>
      </c>
      <c r="I102" t="s">
        <v>650</v>
      </c>
      <c r="K102" t="str">
        <f t="shared" si="4"/>
        <v>No</v>
      </c>
    </row>
    <row r="103" spans="3:11" x14ac:dyDescent="0.3">
      <c r="C103">
        <v>79</v>
      </c>
      <c r="D103">
        <v>1613.65</v>
      </c>
      <c r="E103" t="s">
        <v>650</v>
      </c>
      <c r="F103">
        <v>3172.02</v>
      </c>
      <c r="G103" t="s">
        <v>650</v>
      </c>
      <c r="H103">
        <v>2918.9</v>
      </c>
      <c r="I103" t="s">
        <v>650</v>
      </c>
      <c r="K103" t="str">
        <f t="shared" si="4"/>
        <v>No</v>
      </c>
    </row>
    <row r="104" spans="3:11" x14ac:dyDescent="0.3">
      <c r="C104">
        <v>80</v>
      </c>
      <c r="D104">
        <v>3151.58</v>
      </c>
      <c r="E104" t="s">
        <v>650</v>
      </c>
      <c r="F104">
        <v>3078.29</v>
      </c>
      <c r="G104" t="s">
        <v>650</v>
      </c>
      <c r="H104">
        <v>2527.33</v>
      </c>
      <c r="I104" t="s">
        <v>650</v>
      </c>
      <c r="K104" t="str">
        <f t="shared" si="4"/>
        <v>No</v>
      </c>
    </row>
    <row r="105" spans="3:11" x14ac:dyDescent="0.3">
      <c r="C105">
        <v>81</v>
      </c>
      <c r="D105">
        <v>3201.1</v>
      </c>
      <c r="E105" t="s">
        <v>650</v>
      </c>
      <c r="F105">
        <v>3966.95</v>
      </c>
      <c r="G105" t="s">
        <v>650</v>
      </c>
      <c r="H105">
        <v>3596.56</v>
      </c>
      <c r="I105" t="s">
        <v>650</v>
      </c>
      <c r="K105" t="str">
        <f t="shared" si="4"/>
        <v>No</v>
      </c>
    </row>
    <row r="106" spans="3:11" x14ac:dyDescent="0.3">
      <c r="C106">
        <v>82</v>
      </c>
      <c r="D106">
        <v>2604.4</v>
      </c>
      <c r="E106" t="s">
        <v>650</v>
      </c>
      <c r="F106">
        <v>3100.86</v>
      </c>
      <c r="G106" t="s">
        <v>650</v>
      </c>
      <c r="H106">
        <v>2634.82</v>
      </c>
      <c r="I106" t="s">
        <v>650</v>
      </c>
      <c r="K106" t="str">
        <f t="shared" si="4"/>
        <v>No</v>
      </c>
    </row>
    <row r="107" spans="3:11" x14ac:dyDescent="0.3">
      <c r="C107">
        <v>83</v>
      </c>
      <c r="D107">
        <v>2666.99</v>
      </c>
      <c r="E107" t="s">
        <v>650</v>
      </c>
      <c r="F107">
        <v>3535.03</v>
      </c>
      <c r="G107" t="s">
        <v>650</v>
      </c>
      <c r="H107">
        <v>2623.48</v>
      </c>
      <c r="I107" t="s">
        <v>650</v>
      </c>
      <c r="K107" t="str">
        <f t="shared" si="4"/>
        <v>No</v>
      </c>
    </row>
    <row r="108" spans="3:11" x14ac:dyDescent="0.3">
      <c r="C108">
        <v>84</v>
      </c>
      <c r="D108">
        <v>2842.71</v>
      </c>
      <c r="E108" t="s">
        <v>650</v>
      </c>
      <c r="F108">
        <v>2970.16</v>
      </c>
      <c r="G108" t="s">
        <v>650</v>
      </c>
      <c r="H108">
        <v>2777.18</v>
      </c>
      <c r="I108" t="s">
        <v>650</v>
      </c>
      <c r="K108" t="str">
        <f t="shared" si="4"/>
        <v>No</v>
      </c>
    </row>
    <row r="109" spans="3:11" x14ac:dyDescent="0.3">
      <c r="C109">
        <v>85</v>
      </c>
      <c r="D109">
        <v>2461.34</v>
      </c>
      <c r="E109" t="s">
        <v>650</v>
      </c>
      <c r="F109">
        <v>4859.05</v>
      </c>
      <c r="G109" t="s">
        <v>650</v>
      </c>
      <c r="H109">
        <v>4412.54</v>
      </c>
      <c r="I109" t="s">
        <v>650</v>
      </c>
      <c r="K109" t="str">
        <f t="shared" si="4"/>
        <v>No</v>
      </c>
    </row>
    <row r="110" spans="3:11" x14ac:dyDescent="0.3">
      <c r="C110">
        <v>86</v>
      </c>
      <c r="D110">
        <v>2719.94</v>
      </c>
      <c r="E110" t="s">
        <v>650</v>
      </c>
      <c r="F110">
        <v>2466.25</v>
      </c>
      <c r="G110" t="s">
        <v>650</v>
      </c>
      <c r="H110">
        <v>4549.22</v>
      </c>
      <c r="I110" t="s">
        <v>650</v>
      </c>
      <c r="K110" t="str">
        <f t="shared" si="4"/>
        <v>No</v>
      </c>
    </row>
    <row r="111" spans="3:11" x14ac:dyDescent="0.3">
      <c r="C111">
        <v>87</v>
      </c>
      <c r="D111">
        <v>3507.59</v>
      </c>
      <c r="E111" t="s">
        <v>650</v>
      </c>
      <c r="F111">
        <v>3937.45</v>
      </c>
      <c r="G111" t="s">
        <v>650</v>
      </c>
      <c r="H111">
        <v>2662.89</v>
      </c>
      <c r="I111" t="s">
        <v>650</v>
      </c>
      <c r="K111" t="str">
        <f t="shared" si="4"/>
        <v>No</v>
      </c>
    </row>
    <row r="112" spans="3:11" x14ac:dyDescent="0.3">
      <c r="C112">
        <v>88</v>
      </c>
      <c r="D112">
        <v>4045.14</v>
      </c>
      <c r="E112" t="s">
        <v>650</v>
      </c>
      <c r="F112">
        <v>4021.39</v>
      </c>
      <c r="G112" t="s">
        <v>650</v>
      </c>
      <c r="H112">
        <v>3342.05</v>
      </c>
      <c r="I112" t="s">
        <v>650</v>
      </c>
      <c r="K112" t="str">
        <f t="shared" si="4"/>
        <v>No</v>
      </c>
    </row>
    <row r="113" spans="3:11" x14ac:dyDescent="0.3">
      <c r="C113">
        <v>89</v>
      </c>
      <c r="D113">
        <v>2988.83</v>
      </c>
      <c r="E113" t="s">
        <v>650</v>
      </c>
      <c r="F113">
        <v>3140.62</v>
      </c>
      <c r="G113" t="s">
        <v>650</v>
      </c>
      <c r="H113">
        <v>4061.01</v>
      </c>
      <c r="I113" t="s">
        <v>650</v>
      </c>
      <c r="K113" t="str">
        <f t="shared" si="4"/>
        <v>No</v>
      </c>
    </row>
    <row r="114" spans="3:11" x14ac:dyDescent="0.3">
      <c r="C114">
        <v>90</v>
      </c>
      <c r="D114">
        <v>1806.17</v>
      </c>
      <c r="E114" t="s">
        <v>650</v>
      </c>
      <c r="F114">
        <v>2248.0500000000002</v>
      </c>
      <c r="G114" t="s">
        <v>650</v>
      </c>
      <c r="H114">
        <v>2986.69</v>
      </c>
      <c r="I114" t="s">
        <v>650</v>
      </c>
      <c r="K114" t="str">
        <f t="shared" si="4"/>
        <v>No</v>
      </c>
    </row>
    <row r="115" spans="3:11" x14ac:dyDescent="0.3">
      <c r="C115">
        <v>91</v>
      </c>
      <c r="D115">
        <v>3076.56</v>
      </c>
      <c r="E115" t="s">
        <v>650</v>
      </c>
      <c r="F115">
        <v>2791.55</v>
      </c>
      <c r="G115" t="s">
        <v>650</v>
      </c>
      <c r="H115">
        <v>2435.4</v>
      </c>
      <c r="I115" t="s">
        <v>650</v>
      </c>
      <c r="K115" t="str">
        <f t="shared" si="4"/>
        <v>No</v>
      </c>
    </row>
    <row r="116" spans="3:11" x14ac:dyDescent="0.3">
      <c r="C116">
        <v>92</v>
      </c>
      <c r="D116">
        <v>3535.37</v>
      </c>
      <c r="E116" t="s">
        <v>650</v>
      </c>
      <c r="F116">
        <v>3599.71</v>
      </c>
      <c r="G116" t="s">
        <v>650</v>
      </c>
      <c r="H116">
        <v>2858.44</v>
      </c>
      <c r="I116" t="s">
        <v>650</v>
      </c>
      <c r="K116" t="str">
        <f t="shared" si="4"/>
        <v>No</v>
      </c>
    </row>
    <row r="117" spans="3:11" x14ac:dyDescent="0.3">
      <c r="C117">
        <v>93</v>
      </c>
      <c r="D117">
        <v>2046.78</v>
      </c>
      <c r="E117" t="s">
        <v>650</v>
      </c>
      <c r="F117">
        <v>3667.54</v>
      </c>
      <c r="G117" t="s">
        <v>650</v>
      </c>
      <c r="H117">
        <v>3860.48</v>
      </c>
      <c r="I117" t="s">
        <v>650</v>
      </c>
      <c r="K117" t="str">
        <f t="shared" si="4"/>
        <v>No</v>
      </c>
    </row>
    <row r="118" spans="3:11" x14ac:dyDescent="0.3">
      <c r="C118">
        <v>94</v>
      </c>
      <c r="D118">
        <v>2741.54</v>
      </c>
      <c r="E118" t="s">
        <v>650</v>
      </c>
      <c r="F118">
        <v>3622.56</v>
      </c>
      <c r="G118" t="s">
        <v>650</v>
      </c>
      <c r="H118">
        <v>1677.9</v>
      </c>
      <c r="I118" t="s">
        <v>650</v>
      </c>
      <c r="K118" t="str">
        <f t="shared" si="4"/>
        <v>No</v>
      </c>
    </row>
    <row r="119" spans="3:11" x14ac:dyDescent="0.3">
      <c r="C119">
        <v>95</v>
      </c>
      <c r="D119">
        <v>2862.75</v>
      </c>
      <c r="E119" t="s">
        <v>650</v>
      </c>
      <c r="F119">
        <v>2568.96</v>
      </c>
      <c r="G119" t="s">
        <v>650</v>
      </c>
      <c r="H119">
        <v>2518.38</v>
      </c>
      <c r="I119" t="s">
        <v>650</v>
      </c>
      <c r="K119" t="str">
        <f t="shared" si="4"/>
        <v>No</v>
      </c>
    </row>
    <row r="120" spans="3:11" x14ac:dyDescent="0.3">
      <c r="C120">
        <v>96</v>
      </c>
      <c r="D120">
        <v>4367.7700000000004</v>
      </c>
      <c r="E120" t="s">
        <v>650</v>
      </c>
      <c r="F120">
        <v>3150.47</v>
      </c>
      <c r="G120" t="s">
        <v>650</v>
      </c>
      <c r="H120">
        <v>3063.44</v>
      </c>
      <c r="I120" t="s">
        <v>650</v>
      </c>
      <c r="K120" t="str">
        <f t="shared" si="4"/>
        <v>No</v>
      </c>
    </row>
    <row r="121" spans="3:11" x14ac:dyDescent="0.3">
      <c r="C121">
        <v>97</v>
      </c>
      <c r="D121">
        <v>2731.4</v>
      </c>
      <c r="E121" t="s">
        <v>650</v>
      </c>
      <c r="F121">
        <v>2641.51</v>
      </c>
      <c r="G121" t="s">
        <v>650</v>
      </c>
      <c r="H121">
        <v>4351.97</v>
      </c>
      <c r="I121" t="s">
        <v>650</v>
      </c>
      <c r="K121" t="str">
        <f t="shared" si="4"/>
        <v>No</v>
      </c>
    </row>
    <row r="122" spans="3:11" x14ac:dyDescent="0.3">
      <c r="C122">
        <v>98</v>
      </c>
      <c r="D122">
        <v>1852.49</v>
      </c>
      <c r="E122" t="s">
        <v>650</v>
      </c>
      <c r="F122">
        <v>2928.41</v>
      </c>
      <c r="G122" t="s">
        <v>650</v>
      </c>
      <c r="H122">
        <v>3284.11</v>
      </c>
      <c r="I122" t="s">
        <v>650</v>
      </c>
      <c r="K122" t="str">
        <f t="shared" si="4"/>
        <v>No</v>
      </c>
    </row>
    <row r="123" spans="3:11" x14ac:dyDescent="0.3">
      <c r="C123">
        <v>99</v>
      </c>
      <c r="D123">
        <v>3191.23</v>
      </c>
      <c r="E123" t="s">
        <v>650</v>
      </c>
      <c r="F123">
        <v>3108.58</v>
      </c>
      <c r="G123" t="s">
        <v>650</v>
      </c>
      <c r="H123">
        <v>2565.4499999999998</v>
      </c>
      <c r="I123" t="s">
        <v>650</v>
      </c>
      <c r="K123" t="str">
        <f t="shared" si="4"/>
        <v>No</v>
      </c>
    </row>
    <row r="124" spans="3:11" x14ac:dyDescent="0.3">
      <c r="C124">
        <v>100</v>
      </c>
      <c r="D124">
        <v>3165.2</v>
      </c>
      <c r="E124" t="s">
        <v>650</v>
      </c>
      <c r="F124">
        <v>3317.69</v>
      </c>
      <c r="G124" t="s">
        <v>650</v>
      </c>
      <c r="H124">
        <v>3486.64</v>
      </c>
      <c r="I124" t="s">
        <v>650</v>
      </c>
      <c r="K124" t="str">
        <f t="shared" si="4"/>
        <v>No</v>
      </c>
    </row>
    <row r="125" spans="3:11" x14ac:dyDescent="0.3">
      <c r="C125">
        <v>101</v>
      </c>
      <c r="D125">
        <v>2779.58</v>
      </c>
      <c r="E125" t="s">
        <v>650</v>
      </c>
      <c r="F125">
        <v>1974.19</v>
      </c>
      <c r="G125" t="s">
        <v>650</v>
      </c>
      <c r="H125">
        <v>2668.81</v>
      </c>
      <c r="I125" t="s">
        <v>650</v>
      </c>
      <c r="K125" t="str">
        <f t="shared" si="4"/>
        <v>No</v>
      </c>
    </row>
    <row r="126" spans="3:11" x14ac:dyDescent="0.3">
      <c r="C126">
        <v>102</v>
      </c>
      <c r="D126">
        <v>3500.65</v>
      </c>
      <c r="E126" t="s">
        <v>650</v>
      </c>
      <c r="F126">
        <v>3008.65</v>
      </c>
      <c r="G126" t="s">
        <v>650</v>
      </c>
      <c r="H126">
        <v>3321.19</v>
      </c>
      <c r="I126" t="s">
        <v>650</v>
      </c>
      <c r="K126" t="str">
        <f t="shared" si="4"/>
        <v>No</v>
      </c>
    </row>
    <row r="127" spans="3:11" x14ac:dyDescent="0.3">
      <c r="C127">
        <v>103</v>
      </c>
      <c r="D127">
        <v>2818.55</v>
      </c>
      <c r="E127" t="s">
        <v>650</v>
      </c>
      <c r="F127">
        <v>1591.19</v>
      </c>
      <c r="G127" t="s">
        <v>650</v>
      </c>
      <c r="H127">
        <v>4346.3999999999996</v>
      </c>
      <c r="I127" t="s">
        <v>650</v>
      </c>
      <c r="K127" t="str">
        <f t="shared" si="4"/>
        <v>No</v>
      </c>
    </row>
    <row r="128" spans="3:11" x14ac:dyDescent="0.3">
      <c r="C128">
        <v>104</v>
      </c>
      <c r="D128">
        <v>2092.5300000000002</v>
      </c>
      <c r="E128" t="s">
        <v>650</v>
      </c>
      <c r="F128">
        <v>4050.37</v>
      </c>
      <c r="G128" t="s">
        <v>650</v>
      </c>
      <c r="H128">
        <v>3204.62</v>
      </c>
      <c r="I128" t="s">
        <v>650</v>
      </c>
      <c r="K128" t="str">
        <f t="shared" si="4"/>
        <v>No</v>
      </c>
    </row>
    <row r="129" spans="3:11" x14ac:dyDescent="0.3">
      <c r="C129">
        <v>105</v>
      </c>
      <c r="D129">
        <v>3532.81</v>
      </c>
      <c r="E129" t="s">
        <v>650</v>
      </c>
      <c r="F129">
        <v>3492.97</v>
      </c>
      <c r="G129" t="s">
        <v>650</v>
      </c>
      <c r="H129">
        <v>2644.76</v>
      </c>
      <c r="I129" t="s">
        <v>650</v>
      </c>
      <c r="K129" t="str">
        <f t="shared" si="4"/>
        <v>No</v>
      </c>
    </row>
    <row r="130" spans="3:11" x14ac:dyDescent="0.3">
      <c r="C130">
        <v>106</v>
      </c>
      <c r="D130">
        <v>4238.97</v>
      </c>
      <c r="E130" t="s">
        <v>650</v>
      </c>
      <c r="F130">
        <v>2679.55</v>
      </c>
      <c r="G130" t="s">
        <v>650</v>
      </c>
      <c r="H130">
        <v>2418.8200000000002</v>
      </c>
      <c r="I130" t="s">
        <v>650</v>
      </c>
      <c r="K130" t="str">
        <f t="shared" si="4"/>
        <v>No</v>
      </c>
    </row>
    <row r="131" spans="3:11" x14ac:dyDescent="0.3">
      <c r="C131">
        <v>107</v>
      </c>
      <c r="D131">
        <v>2906.73</v>
      </c>
      <c r="E131" t="s">
        <v>650</v>
      </c>
      <c r="F131">
        <v>2665.97</v>
      </c>
      <c r="G131" t="s">
        <v>650</v>
      </c>
      <c r="H131">
        <v>2310.64</v>
      </c>
      <c r="I131" t="s">
        <v>650</v>
      </c>
      <c r="K131" t="str">
        <f t="shared" si="4"/>
        <v>No</v>
      </c>
    </row>
    <row r="132" spans="3:11" x14ac:dyDescent="0.3">
      <c r="C132">
        <v>108</v>
      </c>
      <c r="D132">
        <v>2351.13</v>
      </c>
      <c r="E132" t="s">
        <v>650</v>
      </c>
      <c r="F132">
        <v>2078.4499999999998</v>
      </c>
      <c r="G132" t="s">
        <v>650</v>
      </c>
      <c r="H132">
        <v>4301.2700000000004</v>
      </c>
      <c r="I132" t="s">
        <v>650</v>
      </c>
      <c r="K132" t="str">
        <f t="shared" si="4"/>
        <v>No</v>
      </c>
    </row>
    <row r="133" spans="3:11" x14ac:dyDescent="0.3">
      <c r="C133">
        <v>109</v>
      </c>
      <c r="D133">
        <v>3065.34</v>
      </c>
      <c r="E133" t="s">
        <v>650</v>
      </c>
      <c r="F133">
        <v>1916.11</v>
      </c>
      <c r="G133" t="s">
        <v>650</v>
      </c>
      <c r="H133">
        <v>4281.42</v>
      </c>
      <c r="I133" t="s">
        <v>650</v>
      </c>
      <c r="K133" t="str">
        <f t="shared" si="4"/>
        <v>No</v>
      </c>
    </row>
    <row r="134" spans="3:11" x14ac:dyDescent="0.3">
      <c r="C134">
        <v>110</v>
      </c>
      <c r="D134">
        <v>2454.11</v>
      </c>
      <c r="E134" t="s">
        <v>650</v>
      </c>
      <c r="F134">
        <v>3226.11</v>
      </c>
      <c r="G134" t="s">
        <v>650</v>
      </c>
      <c r="H134">
        <v>1834.46</v>
      </c>
      <c r="I134" t="s">
        <v>650</v>
      </c>
      <c r="K134" t="str">
        <f t="shared" si="4"/>
        <v>No</v>
      </c>
    </row>
    <row r="135" spans="3:11" x14ac:dyDescent="0.3">
      <c r="C135">
        <v>111</v>
      </c>
      <c r="D135">
        <v>2943.98</v>
      </c>
      <c r="E135" t="s">
        <v>650</v>
      </c>
      <c r="F135">
        <v>2680.61</v>
      </c>
      <c r="G135" t="s">
        <v>650</v>
      </c>
      <c r="H135">
        <v>2113.5300000000002</v>
      </c>
      <c r="I135" t="s">
        <v>650</v>
      </c>
      <c r="K135" t="str">
        <f t="shared" si="4"/>
        <v>No</v>
      </c>
    </row>
    <row r="136" spans="3:11" x14ac:dyDescent="0.3">
      <c r="C136">
        <v>112</v>
      </c>
      <c r="D136">
        <v>3123.78</v>
      </c>
      <c r="E136" t="s">
        <v>650</v>
      </c>
      <c r="F136">
        <v>2487.56</v>
      </c>
      <c r="G136" t="s">
        <v>650</v>
      </c>
      <c r="H136">
        <v>4116.04</v>
      </c>
      <c r="I136" t="s">
        <v>650</v>
      </c>
      <c r="K136" t="str">
        <f t="shared" si="4"/>
        <v>No</v>
      </c>
    </row>
    <row r="137" spans="3:11" x14ac:dyDescent="0.3">
      <c r="C137">
        <v>113</v>
      </c>
      <c r="D137">
        <v>2210.29</v>
      </c>
      <c r="E137" t="s">
        <v>650</v>
      </c>
      <c r="F137">
        <v>4186.0600000000004</v>
      </c>
      <c r="G137" t="s">
        <v>650</v>
      </c>
      <c r="H137">
        <v>2559.46</v>
      </c>
      <c r="I137" t="s">
        <v>650</v>
      </c>
      <c r="K137" t="str">
        <f t="shared" si="4"/>
        <v>No</v>
      </c>
    </row>
    <row r="138" spans="3:11" x14ac:dyDescent="0.3">
      <c r="C138">
        <v>114</v>
      </c>
      <c r="D138">
        <v>2132.6799999999998</v>
      </c>
      <c r="E138" t="s">
        <v>650</v>
      </c>
      <c r="F138">
        <v>2163.79</v>
      </c>
      <c r="G138" t="s">
        <v>650</v>
      </c>
      <c r="H138">
        <v>3331.19</v>
      </c>
      <c r="I138" t="s">
        <v>650</v>
      </c>
      <c r="K138" t="str">
        <f t="shared" si="4"/>
        <v>No</v>
      </c>
    </row>
    <row r="139" spans="3:11" x14ac:dyDescent="0.3">
      <c r="C139">
        <v>115</v>
      </c>
      <c r="D139">
        <v>2652.57</v>
      </c>
      <c r="E139" t="s">
        <v>650</v>
      </c>
      <c r="F139">
        <v>2320.4</v>
      </c>
      <c r="G139" t="s">
        <v>650</v>
      </c>
      <c r="H139">
        <v>3494.03</v>
      </c>
      <c r="I139" t="s">
        <v>650</v>
      </c>
      <c r="K139" t="str">
        <f t="shared" si="4"/>
        <v>No</v>
      </c>
    </row>
    <row r="140" spans="3:11" x14ac:dyDescent="0.3">
      <c r="C140">
        <v>116</v>
      </c>
      <c r="D140">
        <v>2627.63</v>
      </c>
      <c r="E140" t="s">
        <v>650</v>
      </c>
      <c r="F140">
        <v>3293.21</v>
      </c>
      <c r="G140" t="s">
        <v>650</v>
      </c>
      <c r="H140">
        <v>2549.15</v>
      </c>
      <c r="I140" t="s">
        <v>650</v>
      </c>
      <c r="K140" t="str">
        <f t="shared" si="4"/>
        <v>No</v>
      </c>
    </row>
    <row r="141" spans="3:11" x14ac:dyDescent="0.3">
      <c r="C141">
        <v>117</v>
      </c>
      <c r="D141">
        <v>3434.41</v>
      </c>
      <c r="E141" t="s">
        <v>650</v>
      </c>
      <c r="F141">
        <v>3769.91</v>
      </c>
      <c r="G141" t="s">
        <v>650</v>
      </c>
      <c r="H141">
        <v>4336.84</v>
      </c>
      <c r="I141" t="s">
        <v>650</v>
      </c>
      <c r="K141" t="str">
        <f t="shared" si="4"/>
        <v>No</v>
      </c>
    </row>
    <row r="142" spans="3:11" x14ac:dyDescent="0.3">
      <c r="C142">
        <v>118</v>
      </c>
      <c r="D142">
        <v>2638.27</v>
      </c>
      <c r="E142" t="s">
        <v>650</v>
      </c>
      <c r="F142">
        <v>3551.08</v>
      </c>
      <c r="G142" t="s">
        <v>650</v>
      </c>
      <c r="H142">
        <v>3179.25</v>
      </c>
      <c r="I142" t="s">
        <v>650</v>
      </c>
      <c r="K142" t="str">
        <f t="shared" si="4"/>
        <v>No</v>
      </c>
    </row>
    <row r="143" spans="3:11" x14ac:dyDescent="0.3">
      <c r="C143">
        <v>119</v>
      </c>
      <c r="D143">
        <v>2498.62</v>
      </c>
      <c r="E143" t="s">
        <v>650</v>
      </c>
      <c r="F143">
        <v>3038.99</v>
      </c>
      <c r="G143" t="s">
        <v>650</v>
      </c>
      <c r="H143">
        <v>2751.98</v>
      </c>
      <c r="I143" t="s">
        <v>650</v>
      </c>
      <c r="K143" t="str">
        <f t="shared" si="4"/>
        <v>No</v>
      </c>
    </row>
    <row r="144" spans="3:11" x14ac:dyDescent="0.3">
      <c r="C144">
        <v>120</v>
      </c>
      <c r="D144">
        <v>2936.2</v>
      </c>
      <c r="E144" t="s">
        <v>650</v>
      </c>
      <c r="F144">
        <v>2180.59</v>
      </c>
      <c r="G144" t="s">
        <v>650</v>
      </c>
      <c r="H144">
        <v>4114.45</v>
      </c>
      <c r="I144" t="s">
        <v>650</v>
      </c>
      <c r="K144" t="str">
        <f t="shared" si="4"/>
        <v>No</v>
      </c>
    </row>
    <row r="145" spans="3:11" x14ac:dyDescent="0.3">
      <c r="C145">
        <v>121</v>
      </c>
      <c r="D145">
        <v>2850.25</v>
      </c>
      <c r="E145" t="s">
        <v>650</v>
      </c>
      <c r="F145">
        <v>1812.63</v>
      </c>
      <c r="G145" t="s">
        <v>650</v>
      </c>
      <c r="H145">
        <v>1773.45</v>
      </c>
      <c r="I145" t="s">
        <v>650</v>
      </c>
      <c r="K145" t="str">
        <f t="shared" si="4"/>
        <v>No</v>
      </c>
    </row>
    <row r="146" spans="3:11" x14ac:dyDescent="0.3">
      <c r="C146">
        <v>122</v>
      </c>
      <c r="D146">
        <v>2826.63</v>
      </c>
      <c r="E146" t="s">
        <v>650</v>
      </c>
      <c r="F146">
        <v>2385.5</v>
      </c>
      <c r="G146" t="s">
        <v>650</v>
      </c>
      <c r="H146">
        <v>3041.91</v>
      </c>
      <c r="I146" t="s">
        <v>650</v>
      </c>
      <c r="K146" t="str">
        <f t="shared" si="4"/>
        <v>No</v>
      </c>
    </row>
    <row r="147" spans="3:11" x14ac:dyDescent="0.3">
      <c r="C147">
        <v>123</v>
      </c>
      <c r="D147">
        <v>3342.46</v>
      </c>
      <c r="E147" t="s">
        <v>650</v>
      </c>
      <c r="F147">
        <v>3183.38</v>
      </c>
      <c r="G147" t="s">
        <v>650</v>
      </c>
      <c r="H147">
        <v>4151.3100000000004</v>
      </c>
      <c r="I147" t="s">
        <v>650</v>
      </c>
      <c r="K147" t="str">
        <f t="shared" si="4"/>
        <v>No</v>
      </c>
    </row>
    <row r="148" spans="3:11" x14ac:dyDescent="0.3">
      <c r="C148">
        <v>124</v>
      </c>
      <c r="D148">
        <v>3597.03</v>
      </c>
      <c r="E148" t="s">
        <v>650</v>
      </c>
      <c r="F148">
        <v>2342.0100000000002</v>
      </c>
      <c r="G148" t="s">
        <v>650</v>
      </c>
      <c r="H148">
        <v>4072.08</v>
      </c>
      <c r="I148" t="s">
        <v>650</v>
      </c>
      <c r="K148" t="str">
        <f t="shared" si="4"/>
        <v>No</v>
      </c>
    </row>
    <row r="149" spans="3:11" x14ac:dyDescent="0.3">
      <c r="C149">
        <v>125</v>
      </c>
      <c r="D149">
        <v>2520.4</v>
      </c>
      <c r="E149" t="s">
        <v>650</v>
      </c>
      <c r="F149">
        <v>3260.25</v>
      </c>
      <c r="G149" t="s">
        <v>650</v>
      </c>
      <c r="H149">
        <v>2153.15</v>
      </c>
      <c r="I149" t="s">
        <v>650</v>
      </c>
      <c r="K149" t="str">
        <f t="shared" si="4"/>
        <v>No</v>
      </c>
    </row>
    <row r="150" spans="3:11" x14ac:dyDescent="0.3">
      <c r="C150">
        <v>126</v>
      </c>
      <c r="D150">
        <v>2778.24</v>
      </c>
      <c r="E150" t="s">
        <v>650</v>
      </c>
      <c r="F150">
        <v>3012.23</v>
      </c>
      <c r="G150" t="s">
        <v>650</v>
      </c>
      <c r="H150">
        <v>1669.58</v>
      </c>
      <c r="I150" t="s">
        <v>650</v>
      </c>
      <c r="K150" t="str">
        <f t="shared" si="4"/>
        <v>No</v>
      </c>
    </row>
    <row r="151" spans="3:11" x14ac:dyDescent="0.3">
      <c r="C151">
        <v>127</v>
      </c>
      <c r="D151">
        <v>3239.51</v>
      </c>
      <c r="E151" t="s">
        <v>650</v>
      </c>
      <c r="F151">
        <v>2230.98</v>
      </c>
      <c r="G151" t="s">
        <v>650</v>
      </c>
      <c r="H151">
        <v>3469.64</v>
      </c>
      <c r="I151" t="s">
        <v>650</v>
      </c>
      <c r="K151" t="str">
        <f t="shared" si="4"/>
        <v>No</v>
      </c>
    </row>
    <row r="152" spans="3:11" x14ac:dyDescent="0.3">
      <c r="C152">
        <v>128</v>
      </c>
      <c r="D152">
        <v>3999.61</v>
      </c>
      <c r="E152" t="s">
        <v>650</v>
      </c>
      <c r="F152">
        <v>2897.84</v>
      </c>
      <c r="G152" t="s">
        <v>650</v>
      </c>
      <c r="H152">
        <v>3641.43</v>
      </c>
      <c r="I152" t="s">
        <v>650</v>
      </c>
      <c r="K152" t="str">
        <f t="shared" si="4"/>
        <v>No</v>
      </c>
    </row>
    <row r="153" spans="3:11" x14ac:dyDescent="0.3">
      <c r="C153">
        <v>129</v>
      </c>
      <c r="D153">
        <v>3028.75</v>
      </c>
      <c r="E153" t="s">
        <v>650</v>
      </c>
      <c r="F153">
        <v>3158.04</v>
      </c>
      <c r="G153" t="s">
        <v>650</v>
      </c>
      <c r="H153">
        <v>2886.89</v>
      </c>
      <c r="I153" t="s">
        <v>650</v>
      </c>
      <c r="K153" t="str">
        <f t="shared" ref="K153:K216" si="5">IF(AND(E153="No",G153="No",I153="No"),"No","Yes")</f>
        <v>No</v>
      </c>
    </row>
    <row r="154" spans="3:11" x14ac:dyDescent="0.3">
      <c r="C154">
        <v>130</v>
      </c>
      <c r="D154">
        <v>2882.34</v>
      </c>
      <c r="E154" t="s">
        <v>650</v>
      </c>
      <c r="F154">
        <v>3094.12</v>
      </c>
      <c r="G154" t="s">
        <v>650</v>
      </c>
      <c r="H154">
        <v>3680.63</v>
      </c>
      <c r="I154" t="s">
        <v>650</v>
      </c>
      <c r="K154" t="str">
        <f t="shared" si="5"/>
        <v>No</v>
      </c>
    </row>
    <row r="155" spans="3:11" x14ac:dyDescent="0.3">
      <c r="C155">
        <v>131</v>
      </c>
      <c r="D155">
        <v>3731.15</v>
      </c>
      <c r="E155" t="s">
        <v>650</v>
      </c>
      <c r="F155">
        <v>2324.1799999999998</v>
      </c>
      <c r="G155" t="s">
        <v>650</v>
      </c>
      <c r="H155">
        <v>2540.04</v>
      </c>
      <c r="I155" t="s">
        <v>650</v>
      </c>
      <c r="K155" t="str">
        <f t="shared" si="5"/>
        <v>No</v>
      </c>
    </row>
    <row r="156" spans="3:11" x14ac:dyDescent="0.3">
      <c r="C156">
        <v>132</v>
      </c>
      <c r="D156">
        <v>1596.48</v>
      </c>
      <c r="E156" t="s">
        <v>650</v>
      </c>
      <c r="F156">
        <v>2468.87</v>
      </c>
      <c r="G156" t="s">
        <v>650</v>
      </c>
      <c r="H156">
        <v>4269.8900000000003</v>
      </c>
      <c r="I156" t="s">
        <v>650</v>
      </c>
      <c r="K156" t="str">
        <f t="shared" si="5"/>
        <v>No</v>
      </c>
    </row>
    <row r="157" spans="3:11" x14ac:dyDescent="0.3">
      <c r="C157">
        <v>133</v>
      </c>
      <c r="D157">
        <v>2608.04</v>
      </c>
      <c r="E157" t="s">
        <v>650</v>
      </c>
      <c r="F157">
        <v>4201.1400000000003</v>
      </c>
      <c r="G157" t="s">
        <v>650</v>
      </c>
      <c r="H157">
        <v>2492.48</v>
      </c>
      <c r="I157" t="s">
        <v>650</v>
      </c>
      <c r="K157" t="str">
        <f t="shared" si="5"/>
        <v>No</v>
      </c>
    </row>
    <row r="158" spans="3:11" x14ac:dyDescent="0.3">
      <c r="C158">
        <v>134</v>
      </c>
      <c r="D158">
        <v>2761.19</v>
      </c>
      <c r="E158" t="s">
        <v>650</v>
      </c>
      <c r="F158">
        <v>2198.11</v>
      </c>
      <c r="G158" t="s">
        <v>650</v>
      </c>
      <c r="H158">
        <v>3794.45</v>
      </c>
      <c r="I158" t="s">
        <v>650</v>
      </c>
      <c r="K158" t="str">
        <f t="shared" si="5"/>
        <v>No</v>
      </c>
    </row>
    <row r="159" spans="3:11" x14ac:dyDescent="0.3">
      <c r="C159">
        <v>135</v>
      </c>
      <c r="D159">
        <v>2376.48</v>
      </c>
      <c r="E159" t="s">
        <v>650</v>
      </c>
      <c r="F159">
        <v>3195.57</v>
      </c>
      <c r="G159" t="s">
        <v>650</v>
      </c>
      <c r="H159">
        <v>2791.9</v>
      </c>
      <c r="I159" t="s">
        <v>650</v>
      </c>
      <c r="K159" t="str">
        <f t="shared" si="5"/>
        <v>No</v>
      </c>
    </row>
    <row r="160" spans="3:11" x14ac:dyDescent="0.3">
      <c r="C160">
        <v>136</v>
      </c>
      <c r="D160">
        <v>3996.01</v>
      </c>
      <c r="E160" t="s">
        <v>650</v>
      </c>
      <c r="F160">
        <v>3650.18</v>
      </c>
      <c r="G160" t="s">
        <v>650</v>
      </c>
      <c r="H160">
        <v>3581.83</v>
      </c>
      <c r="I160" t="s">
        <v>650</v>
      </c>
      <c r="K160" t="str">
        <f t="shared" si="5"/>
        <v>No</v>
      </c>
    </row>
    <row r="161" spans="3:11" x14ac:dyDescent="0.3">
      <c r="C161">
        <v>137</v>
      </c>
      <c r="D161">
        <v>3201.43</v>
      </c>
      <c r="E161" t="s">
        <v>650</v>
      </c>
      <c r="F161">
        <v>3447.52</v>
      </c>
      <c r="G161" t="s">
        <v>650</v>
      </c>
      <c r="H161">
        <v>4528.68</v>
      </c>
      <c r="I161" t="s">
        <v>650</v>
      </c>
      <c r="K161" t="str">
        <f t="shared" si="5"/>
        <v>No</v>
      </c>
    </row>
    <row r="162" spans="3:11" x14ac:dyDescent="0.3">
      <c r="C162">
        <v>138</v>
      </c>
      <c r="D162">
        <v>2839.13</v>
      </c>
      <c r="E162" t="s">
        <v>650</v>
      </c>
      <c r="F162">
        <v>4212.55</v>
      </c>
      <c r="G162" t="s">
        <v>650</v>
      </c>
      <c r="H162">
        <v>3181.27</v>
      </c>
      <c r="I162" t="s">
        <v>650</v>
      </c>
      <c r="K162" t="str">
        <f t="shared" si="5"/>
        <v>No</v>
      </c>
    </row>
    <row r="163" spans="3:11" x14ac:dyDescent="0.3">
      <c r="C163">
        <v>139</v>
      </c>
      <c r="D163">
        <v>3209.04</v>
      </c>
      <c r="E163" t="s">
        <v>650</v>
      </c>
      <c r="F163">
        <v>2184.6</v>
      </c>
      <c r="G163" t="s">
        <v>650</v>
      </c>
      <c r="H163">
        <v>2611.75</v>
      </c>
      <c r="I163" t="s">
        <v>650</v>
      </c>
      <c r="K163" t="str">
        <f t="shared" si="5"/>
        <v>No</v>
      </c>
    </row>
    <row r="164" spans="3:11" x14ac:dyDescent="0.3">
      <c r="C164">
        <v>140</v>
      </c>
      <c r="D164">
        <v>2881.22</v>
      </c>
      <c r="E164" t="s">
        <v>650</v>
      </c>
      <c r="F164">
        <v>3150.23</v>
      </c>
      <c r="G164" t="s">
        <v>650</v>
      </c>
      <c r="H164">
        <v>5036.7299999999996</v>
      </c>
      <c r="I164" t="s">
        <v>650</v>
      </c>
      <c r="K164" t="str">
        <f t="shared" si="5"/>
        <v>No</v>
      </c>
    </row>
    <row r="165" spans="3:11" x14ac:dyDescent="0.3">
      <c r="C165">
        <v>141</v>
      </c>
      <c r="D165">
        <v>1915.88</v>
      </c>
      <c r="E165" t="s">
        <v>650</v>
      </c>
      <c r="F165">
        <v>2133.46</v>
      </c>
      <c r="G165" t="s">
        <v>650</v>
      </c>
      <c r="H165">
        <v>4356.07</v>
      </c>
      <c r="I165" t="s">
        <v>650</v>
      </c>
      <c r="K165" t="str">
        <f t="shared" si="5"/>
        <v>No</v>
      </c>
    </row>
    <row r="166" spans="3:11" x14ac:dyDescent="0.3">
      <c r="C166">
        <v>142</v>
      </c>
      <c r="D166">
        <v>2986.97</v>
      </c>
      <c r="E166" t="s">
        <v>650</v>
      </c>
      <c r="F166">
        <v>4016.69</v>
      </c>
      <c r="G166" t="s">
        <v>650</v>
      </c>
      <c r="H166">
        <v>3271.84</v>
      </c>
      <c r="I166" t="s">
        <v>650</v>
      </c>
      <c r="K166" t="str">
        <f t="shared" si="5"/>
        <v>No</v>
      </c>
    </row>
    <row r="167" spans="3:11" x14ac:dyDescent="0.3">
      <c r="C167">
        <v>143</v>
      </c>
      <c r="D167">
        <v>2308.92</v>
      </c>
      <c r="E167" t="s">
        <v>650</v>
      </c>
      <c r="F167">
        <v>3567.96</v>
      </c>
      <c r="G167" t="s">
        <v>650</v>
      </c>
      <c r="H167">
        <v>4286.12</v>
      </c>
      <c r="I167" t="s">
        <v>650</v>
      </c>
      <c r="K167" t="str">
        <f t="shared" si="5"/>
        <v>No</v>
      </c>
    </row>
    <row r="168" spans="3:11" x14ac:dyDescent="0.3">
      <c r="C168">
        <v>144</v>
      </c>
      <c r="D168">
        <v>3527.62</v>
      </c>
      <c r="E168" t="s">
        <v>650</v>
      </c>
      <c r="F168">
        <v>2905.5</v>
      </c>
      <c r="G168" t="s">
        <v>650</v>
      </c>
      <c r="H168">
        <v>3588.71</v>
      </c>
      <c r="I168" t="s">
        <v>650</v>
      </c>
      <c r="K168" t="str">
        <f t="shared" si="5"/>
        <v>No</v>
      </c>
    </row>
    <row r="169" spans="3:11" x14ac:dyDescent="0.3">
      <c r="C169">
        <v>145</v>
      </c>
      <c r="D169">
        <v>1930.27</v>
      </c>
      <c r="E169" t="s">
        <v>650</v>
      </c>
      <c r="F169">
        <v>3730.24</v>
      </c>
      <c r="G169" t="s">
        <v>650</v>
      </c>
      <c r="H169">
        <v>3004.09</v>
      </c>
      <c r="I169" t="s">
        <v>650</v>
      </c>
      <c r="K169" t="str">
        <f t="shared" si="5"/>
        <v>No</v>
      </c>
    </row>
    <row r="170" spans="3:11" x14ac:dyDescent="0.3">
      <c r="C170">
        <v>146</v>
      </c>
      <c r="D170">
        <v>3217.81</v>
      </c>
      <c r="E170" t="s">
        <v>650</v>
      </c>
      <c r="F170">
        <v>2923.95</v>
      </c>
      <c r="G170" t="s">
        <v>650</v>
      </c>
      <c r="H170">
        <v>4064.36</v>
      </c>
      <c r="I170" t="s">
        <v>650</v>
      </c>
      <c r="K170" t="str">
        <f t="shared" si="5"/>
        <v>No</v>
      </c>
    </row>
    <row r="171" spans="3:11" x14ac:dyDescent="0.3">
      <c r="C171">
        <v>147</v>
      </c>
      <c r="D171">
        <v>3477</v>
      </c>
      <c r="E171" t="s">
        <v>650</v>
      </c>
      <c r="F171">
        <v>4873.8</v>
      </c>
      <c r="G171" t="s">
        <v>650</v>
      </c>
      <c r="H171">
        <v>5332.36</v>
      </c>
      <c r="I171" t="s">
        <v>650</v>
      </c>
      <c r="K171" t="str">
        <f t="shared" si="5"/>
        <v>No</v>
      </c>
    </row>
    <row r="172" spans="3:11" x14ac:dyDescent="0.3">
      <c r="C172">
        <v>148</v>
      </c>
      <c r="D172">
        <v>3077.8</v>
      </c>
      <c r="E172" t="s">
        <v>650</v>
      </c>
      <c r="F172">
        <v>4104.3500000000004</v>
      </c>
      <c r="G172" t="s">
        <v>650</v>
      </c>
      <c r="H172">
        <v>3657.31</v>
      </c>
      <c r="I172" t="s">
        <v>650</v>
      </c>
      <c r="K172" t="str">
        <f t="shared" si="5"/>
        <v>No</v>
      </c>
    </row>
    <row r="173" spans="3:11" x14ac:dyDescent="0.3">
      <c r="C173">
        <v>149</v>
      </c>
      <c r="D173">
        <v>2543.16</v>
      </c>
      <c r="E173" t="s">
        <v>650</v>
      </c>
      <c r="F173">
        <v>3023.9</v>
      </c>
      <c r="G173" t="s">
        <v>650</v>
      </c>
      <c r="H173">
        <v>4593.05</v>
      </c>
      <c r="I173" t="s">
        <v>650</v>
      </c>
      <c r="K173" t="str">
        <f t="shared" si="5"/>
        <v>No</v>
      </c>
    </row>
    <row r="174" spans="3:11" x14ac:dyDescent="0.3">
      <c r="C174">
        <v>150</v>
      </c>
      <c r="D174">
        <v>1910.83</v>
      </c>
      <c r="E174" t="s">
        <v>650</v>
      </c>
      <c r="F174">
        <v>3897.5</v>
      </c>
      <c r="G174" t="s">
        <v>650</v>
      </c>
      <c r="H174">
        <v>3039.74</v>
      </c>
      <c r="I174" t="s">
        <v>650</v>
      </c>
      <c r="K174" t="str">
        <f t="shared" si="5"/>
        <v>No</v>
      </c>
    </row>
    <row r="175" spans="3:11" x14ac:dyDescent="0.3">
      <c r="C175">
        <v>151</v>
      </c>
      <c r="D175">
        <v>2554</v>
      </c>
      <c r="E175" t="s">
        <v>650</v>
      </c>
      <c r="F175">
        <v>2465.11</v>
      </c>
      <c r="G175" t="s">
        <v>650</v>
      </c>
      <c r="H175">
        <v>1936.68</v>
      </c>
      <c r="I175" t="s">
        <v>650</v>
      </c>
      <c r="K175" t="str">
        <f t="shared" si="5"/>
        <v>No</v>
      </c>
    </row>
    <row r="176" spans="3:11" x14ac:dyDescent="0.3">
      <c r="C176">
        <v>152</v>
      </c>
      <c r="D176">
        <v>3293.11</v>
      </c>
      <c r="E176" t="s">
        <v>650</v>
      </c>
      <c r="F176">
        <v>3723.56</v>
      </c>
      <c r="G176" t="s">
        <v>650</v>
      </c>
      <c r="H176">
        <v>2685.49</v>
      </c>
      <c r="I176" t="s">
        <v>650</v>
      </c>
      <c r="K176" t="str">
        <f t="shared" si="5"/>
        <v>No</v>
      </c>
    </row>
    <row r="177" spans="3:11" x14ac:dyDescent="0.3">
      <c r="C177">
        <v>153</v>
      </c>
      <c r="D177">
        <v>2674.09</v>
      </c>
      <c r="E177" t="s">
        <v>650</v>
      </c>
      <c r="F177">
        <v>2427.1999999999998</v>
      </c>
      <c r="G177" t="s">
        <v>650</v>
      </c>
      <c r="H177">
        <v>2082.83</v>
      </c>
      <c r="I177" t="s">
        <v>650</v>
      </c>
      <c r="K177" t="str">
        <f t="shared" si="5"/>
        <v>No</v>
      </c>
    </row>
    <row r="178" spans="3:11" x14ac:dyDescent="0.3">
      <c r="C178">
        <v>154</v>
      </c>
      <c r="D178">
        <v>2635.32</v>
      </c>
      <c r="E178" t="s">
        <v>650</v>
      </c>
      <c r="F178">
        <v>3392.78</v>
      </c>
      <c r="G178" t="s">
        <v>650</v>
      </c>
      <c r="H178">
        <v>3544.51</v>
      </c>
      <c r="I178" t="s">
        <v>650</v>
      </c>
      <c r="K178" t="str">
        <f t="shared" si="5"/>
        <v>No</v>
      </c>
    </row>
    <row r="179" spans="3:11" x14ac:dyDescent="0.3">
      <c r="C179">
        <v>155</v>
      </c>
      <c r="D179">
        <v>3092.55</v>
      </c>
      <c r="E179" t="s">
        <v>650</v>
      </c>
      <c r="F179">
        <v>3675.89</v>
      </c>
      <c r="G179" t="s">
        <v>650</v>
      </c>
      <c r="H179">
        <v>2141.35</v>
      </c>
      <c r="I179" t="s">
        <v>650</v>
      </c>
      <c r="K179" t="str">
        <f t="shared" si="5"/>
        <v>No</v>
      </c>
    </row>
    <row r="180" spans="3:11" x14ac:dyDescent="0.3">
      <c r="C180">
        <v>156</v>
      </c>
      <c r="D180">
        <v>3011.1</v>
      </c>
      <c r="E180" t="s">
        <v>650</v>
      </c>
      <c r="F180">
        <v>2507.86</v>
      </c>
      <c r="G180" t="s">
        <v>650</v>
      </c>
      <c r="H180">
        <v>3372.88</v>
      </c>
      <c r="I180" t="s">
        <v>650</v>
      </c>
      <c r="K180" t="str">
        <f t="shared" si="5"/>
        <v>No</v>
      </c>
    </row>
    <row r="181" spans="3:11" x14ac:dyDescent="0.3">
      <c r="C181">
        <v>157</v>
      </c>
      <c r="D181">
        <v>2989.79</v>
      </c>
      <c r="E181" t="s">
        <v>650</v>
      </c>
      <c r="F181">
        <v>3820.31</v>
      </c>
      <c r="G181" t="s">
        <v>650</v>
      </c>
      <c r="H181">
        <v>2938.37</v>
      </c>
      <c r="I181" t="s">
        <v>650</v>
      </c>
      <c r="K181" t="str">
        <f t="shared" si="5"/>
        <v>No</v>
      </c>
    </row>
    <row r="182" spans="3:11" x14ac:dyDescent="0.3">
      <c r="C182">
        <v>158</v>
      </c>
      <c r="D182">
        <v>2722.92</v>
      </c>
      <c r="E182" t="s">
        <v>650</v>
      </c>
      <c r="F182">
        <v>3429.65</v>
      </c>
      <c r="G182" t="s">
        <v>650</v>
      </c>
      <c r="H182">
        <v>2044.59</v>
      </c>
      <c r="I182" t="s">
        <v>650</v>
      </c>
      <c r="K182" t="str">
        <f t="shared" si="5"/>
        <v>No</v>
      </c>
    </row>
    <row r="183" spans="3:11" x14ac:dyDescent="0.3">
      <c r="C183">
        <v>159</v>
      </c>
      <c r="D183">
        <v>2365.02</v>
      </c>
      <c r="E183" t="s">
        <v>650</v>
      </c>
      <c r="F183">
        <v>2507.69</v>
      </c>
      <c r="G183" t="s">
        <v>650</v>
      </c>
      <c r="H183">
        <v>4308.6099999999997</v>
      </c>
      <c r="I183" t="s">
        <v>650</v>
      </c>
      <c r="K183" t="str">
        <f t="shared" si="5"/>
        <v>No</v>
      </c>
    </row>
    <row r="184" spans="3:11" x14ac:dyDescent="0.3">
      <c r="C184">
        <v>160</v>
      </c>
      <c r="D184">
        <v>2758.6</v>
      </c>
      <c r="E184" t="s">
        <v>650</v>
      </c>
      <c r="F184">
        <v>4521.38</v>
      </c>
      <c r="G184" t="s">
        <v>650</v>
      </c>
      <c r="H184">
        <v>5115.97</v>
      </c>
      <c r="I184" t="s">
        <v>650</v>
      </c>
      <c r="K184" t="str">
        <f t="shared" si="5"/>
        <v>No</v>
      </c>
    </row>
    <row r="185" spans="3:11" x14ac:dyDescent="0.3">
      <c r="C185">
        <v>161</v>
      </c>
      <c r="D185">
        <v>2321.29</v>
      </c>
      <c r="E185" t="s">
        <v>650</v>
      </c>
      <c r="F185">
        <v>4275.5600000000004</v>
      </c>
      <c r="G185" t="s">
        <v>650</v>
      </c>
      <c r="H185">
        <v>2639.52</v>
      </c>
      <c r="I185" t="s">
        <v>650</v>
      </c>
      <c r="K185" t="str">
        <f t="shared" si="5"/>
        <v>No</v>
      </c>
    </row>
    <row r="186" spans="3:11" x14ac:dyDescent="0.3">
      <c r="C186">
        <v>162</v>
      </c>
      <c r="D186">
        <v>3181.99</v>
      </c>
      <c r="E186" t="s">
        <v>650</v>
      </c>
      <c r="F186">
        <v>3131.76</v>
      </c>
      <c r="G186" t="s">
        <v>650</v>
      </c>
      <c r="H186">
        <v>4496.13</v>
      </c>
      <c r="I186" t="s">
        <v>650</v>
      </c>
      <c r="K186" t="str">
        <f t="shared" si="5"/>
        <v>No</v>
      </c>
    </row>
    <row r="187" spans="3:11" x14ac:dyDescent="0.3">
      <c r="C187">
        <v>163</v>
      </c>
      <c r="D187">
        <v>2965.84</v>
      </c>
      <c r="E187" t="s">
        <v>650</v>
      </c>
      <c r="F187">
        <v>4057.26</v>
      </c>
      <c r="G187" t="s">
        <v>650</v>
      </c>
      <c r="H187">
        <v>3560.26</v>
      </c>
      <c r="I187" t="s">
        <v>650</v>
      </c>
      <c r="K187" t="str">
        <f t="shared" si="5"/>
        <v>No</v>
      </c>
    </row>
    <row r="188" spans="3:11" x14ac:dyDescent="0.3">
      <c r="C188">
        <v>164</v>
      </c>
      <c r="D188">
        <v>2683.07</v>
      </c>
      <c r="E188" t="s">
        <v>650</v>
      </c>
      <c r="F188">
        <v>3173.02</v>
      </c>
      <c r="G188" t="s">
        <v>650</v>
      </c>
      <c r="H188">
        <v>3124.3</v>
      </c>
      <c r="I188" t="s">
        <v>650</v>
      </c>
      <c r="K188" t="str">
        <f t="shared" si="5"/>
        <v>No</v>
      </c>
    </row>
    <row r="189" spans="3:11" x14ac:dyDescent="0.3">
      <c r="C189">
        <v>165</v>
      </c>
      <c r="D189">
        <v>1659.43</v>
      </c>
      <c r="E189" t="s">
        <v>650</v>
      </c>
      <c r="F189">
        <v>3198.19</v>
      </c>
      <c r="G189" t="s">
        <v>650</v>
      </c>
      <c r="H189">
        <v>3652.63</v>
      </c>
      <c r="I189" t="s">
        <v>650</v>
      </c>
      <c r="K189" t="str">
        <f t="shared" si="5"/>
        <v>No</v>
      </c>
    </row>
    <row r="190" spans="3:11" x14ac:dyDescent="0.3">
      <c r="C190">
        <v>166</v>
      </c>
      <c r="D190">
        <v>2995.29</v>
      </c>
      <c r="E190" t="s">
        <v>650</v>
      </c>
      <c r="F190">
        <v>3023.65</v>
      </c>
      <c r="G190" t="s">
        <v>650</v>
      </c>
      <c r="H190">
        <v>2861.86</v>
      </c>
      <c r="I190" t="s">
        <v>650</v>
      </c>
      <c r="K190" t="str">
        <f t="shared" si="5"/>
        <v>No</v>
      </c>
    </row>
    <row r="191" spans="3:11" x14ac:dyDescent="0.3">
      <c r="C191">
        <v>167</v>
      </c>
      <c r="D191">
        <v>3114.4</v>
      </c>
      <c r="E191" t="s">
        <v>650</v>
      </c>
      <c r="F191">
        <v>2975.23</v>
      </c>
      <c r="G191" t="s">
        <v>650</v>
      </c>
      <c r="H191">
        <v>3462.52</v>
      </c>
      <c r="I191" t="s">
        <v>650</v>
      </c>
      <c r="K191" t="str">
        <f t="shared" si="5"/>
        <v>No</v>
      </c>
    </row>
    <row r="192" spans="3:11" x14ac:dyDescent="0.3">
      <c r="C192">
        <v>168</v>
      </c>
      <c r="D192">
        <v>3153.52</v>
      </c>
      <c r="E192" t="s">
        <v>650</v>
      </c>
      <c r="F192">
        <v>2300.06</v>
      </c>
      <c r="G192" t="s">
        <v>650</v>
      </c>
      <c r="H192">
        <v>2228.81</v>
      </c>
      <c r="I192" t="s">
        <v>650</v>
      </c>
      <c r="K192" t="str">
        <f t="shared" si="5"/>
        <v>No</v>
      </c>
    </row>
    <row r="193" spans="3:11" x14ac:dyDescent="0.3">
      <c r="C193">
        <v>169</v>
      </c>
      <c r="D193">
        <v>2857.13</v>
      </c>
      <c r="E193" t="s">
        <v>650</v>
      </c>
      <c r="F193">
        <v>4282.09</v>
      </c>
      <c r="G193" t="s">
        <v>650</v>
      </c>
      <c r="H193">
        <v>3148.14</v>
      </c>
      <c r="I193" t="s">
        <v>650</v>
      </c>
      <c r="K193" t="str">
        <f t="shared" si="5"/>
        <v>No</v>
      </c>
    </row>
    <row r="194" spans="3:11" x14ac:dyDescent="0.3">
      <c r="C194">
        <v>170</v>
      </c>
      <c r="D194">
        <v>3254.86</v>
      </c>
      <c r="E194" t="s">
        <v>650</v>
      </c>
      <c r="F194">
        <v>2345.87</v>
      </c>
      <c r="G194" t="s">
        <v>650</v>
      </c>
      <c r="H194">
        <v>3286.16</v>
      </c>
      <c r="I194" t="s">
        <v>650</v>
      </c>
      <c r="K194" t="str">
        <f t="shared" si="5"/>
        <v>No</v>
      </c>
    </row>
    <row r="195" spans="3:11" x14ac:dyDescent="0.3">
      <c r="C195">
        <v>171</v>
      </c>
      <c r="D195">
        <v>2716.96</v>
      </c>
      <c r="E195" t="s">
        <v>650</v>
      </c>
      <c r="F195">
        <v>1940.17</v>
      </c>
      <c r="G195" t="s">
        <v>650</v>
      </c>
      <c r="H195">
        <v>3822.29</v>
      </c>
      <c r="I195" t="s">
        <v>650</v>
      </c>
      <c r="K195" t="str">
        <f t="shared" si="5"/>
        <v>No</v>
      </c>
    </row>
    <row r="196" spans="3:11" x14ac:dyDescent="0.3">
      <c r="C196">
        <v>172</v>
      </c>
      <c r="D196">
        <v>2955.95</v>
      </c>
      <c r="E196" t="s">
        <v>650</v>
      </c>
      <c r="F196">
        <v>3192.69</v>
      </c>
      <c r="G196" t="s">
        <v>650</v>
      </c>
      <c r="H196">
        <v>3211.12</v>
      </c>
      <c r="I196" t="s">
        <v>650</v>
      </c>
      <c r="K196" t="str">
        <f t="shared" si="5"/>
        <v>No</v>
      </c>
    </row>
    <row r="197" spans="3:11" x14ac:dyDescent="0.3">
      <c r="C197">
        <v>173</v>
      </c>
      <c r="D197">
        <v>2993.24</v>
      </c>
      <c r="E197" t="s">
        <v>650</v>
      </c>
      <c r="F197">
        <v>2484.6999999999998</v>
      </c>
      <c r="G197" t="s">
        <v>650</v>
      </c>
      <c r="H197">
        <v>3599.03</v>
      </c>
      <c r="I197" t="s">
        <v>650</v>
      </c>
      <c r="K197" t="str">
        <f t="shared" si="5"/>
        <v>No</v>
      </c>
    </row>
    <row r="198" spans="3:11" x14ac:dyDescent="0.3">
      <c r="C198">
        <v>174</v>
      </c>
      <c r="D198">
        <v>3276.03</v>
      </c>
      <c r="E198" t="s">
        <v>650</v>
      </c>
      <c r="F198">
        <v>3931.62</v>
      </c>
      <c r="G198" t="s">
        <v>650</v>
      </c>
      <c r="H198">
        <v>3014.76</v>
      </c>
      <c r="I198" t="s">
        <v>650</v>
      </c>
      <c r="K198" t="str">
        <f t="shared" si="5"/>
        <v>No</v>
      </c>
    </row>
    <row r="199" spans="3:11" x14ac:dyDescent="0.3">
      <c r="C199">
        <v>175</v>
      </c>
      <c r="D199">
        <v>2391.3200000000002</v>
      </c>
      <c r="E199" t="s">
        <v>650</v>
      </c>
      <c r="F199">
        <v>2821.66</v>
      </c>
      <c r="G199" t="s">
        <v>650</v>
      </c>
      <c r="H199">
        <v>3025.21</v>
      </c>
      <c r="I199" t="s">
        <v>650</v>
      </c>
      <c r="K199" t="str">
        <f t="shared" si="5"/>
        <v>No</v>
      </c>
    </row>
    <row r="200" spans="3:11" x14ac:dyDescent="0.3">
      <c r="C200">
        <v>176</v>
      </c>
      <c r="D200">
        <v>3317.23</v>
      </c>
      <c r="E200" t="s">
        <v>650</v>
      </c>
      <c r="F200">
        <v>2781.53</v>
      </c>
      <c r="G200" t="s">
        <v>650</v>
      </c>
      <c r="H200">
        <v>3896.93</v>
      </c>
      <c r="I200" t="s">
        <v>650</v>
      </c>
      <c r="K200" t="str">
        <f t="shared" si="5"/>
        <v>No</v>
      </c>
    </row>
    <row r="201" spans="3:11" x14ac:dyDescent="0.3">
      <c r="C201">
        <v>177</v>
      </c>
      <c r="D201">
        <v>3350.51</v>
      </c>
      <c r="E201" t="s">
        <v>650</v>
      </c>
      <c r="F201">
        <v>3171.26</v>
      </c>
      <c r="G201" t="s">
        <v>650</v>
      </c>
      <c r="H201">
        <v>4270.67</v>
      </c>
      <c r="I201" t="s">
        <v>650</v>
      </c>
      <c r="K201" t="str">
        <f t="shared" si="5"/>
        <v>No</v>
      </c>
    </row>
    <row r="202" spans="3:11" x14ac:dyDescent="0.3">
      <c r="C202">
        <v>178</v>
      </c>
      <c r="D202">
        <v>2704.04</v>
      </c>
      <c r="E202" t="s">
        <v>650</v>
      </c>
      <c r="F202">
        <v>3922.06</v>
      </c>
      <c r="G202" t="s">
        <v>650</v>
      </c>
      <c r="H202">
        <v>5369.75</v>
      </c>
      <c r="I202" t="s">
        <v>650</v>
      </c>
      <c r="K202" t="str">
        <f t="shared" si="5"/>
        <v>No</v>
      </c>
    </row>
    <row r="203" spans="3:11" x14ac:dyDescent="0.3">
      <c r="C203">
        <v>179</v>
      </c>
      <c r="D203">
        <v>3532.8</v>
      </c>
      <c r="E203" t="s">
        <v>650</v>
      </c>
      <c r="F203">
        <v>2948.51</v>
      </c>
      <c r="G203" t="s">
        <v>650</v>
      </c>
      <c r="H203">
        <v>3447.23</v>
      </c>
      <c r="I203" t="s">
        <v>650</v>
      </c>
      <c r="K203" t="str">
        <f t="shared" si="5"/>
        <v>No</v>
      </c>
    </row>
    <row r="204" spans="3:11" x14ac:dyDescent="0.3">
      <c r="C204">
        <v>180</v>
      </c>
      <c r="D204">
        <v>2748.16</v>
      </c>
      <c r="E204" t="s">
        <v>650</v>
      </c>
      <c r="F204">
        <v>3385.2</v>
      </c>
      <c r="G204" t="s">
        <v>650</v>
      </c>
      <c r="H204">
        <v>4056.58</v>
      </c>
      <c r="I204" t="s">
        <v>650</v>
      </c>
      <c r="K204" t="str">
        <f t="shared" si="5"/>
        <v>No</v>
      </c>
    </row>
    <row r="205" spans="3:11" x14ac:dyDescent="0.3">
      <c r="C205">
        <v>181</v>
      </c>
      <c r="D205">
        <v>3076.01</v>
      </c>
      <c r="E205" t="s">
        <v>650</v>
      </c>
      <c r="F205">
        <v>2524.39</v>
      </c>
      <c r="G205" t="s">
        <v>650</v>
      </c>
      <c r="H205">
        <v>4498.3</v>
      </c>
      <c r="I205" t="s">
        <v>650</v>
      </c>
      <c r="K205" t="str">
        <f t="shared" si="5"/>
        <v>No</v>
      </c>
    </row>
    <row r="206" spans="3:11" x14ac:dyDescent="0.3">
      <c r="C206">
        <v>182</v>
      </c>
      <c r="D206">
        <v>2966.72</v>
      </c>
      <c r="E206" t="s">
        <v>650</v>
      </c>
      <c r="F206">
        <v>3444.65</v>
      </c>
      <c r="G206" t="s">
        <v>650</v>
      </c>
      <c r="H206">
        <v>4065.17</v>
      </c>
      <c r="I206" t="s">
        <v>650</v>
      </c>
      <c r="K206" t="str">
        <f t="shared" si="5"/>
        <v>No</v>
      </c>
    </row>
    <row r="207" spans="3:11" x14ac:dyDescent="0.3">
      <c r="C207">
        <v>183</v>
      </c>
      <c r="D207">
        <v>3069.44</v>
      </c>
      <c r="E207" t="s">
        <v>650</v>
      </c>
      <c r="F207">
        <v>1433.88</v>
      </c>
      <c r="G207" t="s">
        <v>650</v>
      </c>
      <c r="H207">
        <v>4198.3</v>
      </c>
      <c r="I207" t="s">
        <v>650</v>
      </c>
      <c r="K207" t="str">
        <f t="shared" si="5"/>
        <v>No</v>
      </c>
    </row>
    <row r="208" spans="3:11" x14ac:dyDescent="0.3">
      <c r="C208">
        <v>184</v>
      </c>
      <c r="D208">
        <v>3022.51</v>
      </c>
      <c r="E208" t="s">
        <v>650</v>
      </c>
      <c r="F208">
        <v>3465.56</v>
      </c>
      <c r="G208" t="s">
        <v>650</v>
      </c>
      <c r="H208">
        <v>3069.43</v>
      </c>
      <c r="I208" t="s">
        <v>650</v>
      </c>
      <c r="K208" t="str">
        <f t="shared" si="5"/>
        <v>No</v>
      </c>
    </row>
    <row r="209" spans="3:11" x14ac:dyDescent="0.3">
      <c r="C209">
        <v>185</v>
      </c>
      <c r="D209">
        <v>2976.67</v>
      </c>
      <c r="E209" t="s">
        <v>650</v>
      </c>
      <c r="F209">
        <v>3387.05</v>
      </c>
      <c r="G209" t="s">
        <v>650</v>
      </c>
      <c r="H209">
        <v>3710.1</v>
      </c>
      <c r="I209" t="s">
        <v>650</v>
      </c>
      <c r="K209" t="str">
        <f t="shared" si="5"/>
        <v>No</v>
      </c>
    </row>
    <row r="210" spans="3:11" x14ac:dyDescent="0.3">
      <c r="C210">
        <v>186</v>
      </c>
      <c r="D210">
        <v>3022.28</v>
      </c>
      <c r="E210" t="s">
        <v>650</v>
      </c>
      <c r="F210">
        <v>2778.75</v>
      </c>
      <c r="G210" t="s">
        <v>650</v>
      </c>
      <c r="H210">
        <v>3647.29</v>
      </c>
      <c r="I210" t="s">
        <v>650</v>
      </c>
      <c r="K210" t="str">
        <f t="shared" si="5"/>
        <v>No</v>
      </c>
    </row>
    <row r="211" spans="3:11" x14ac:dyDescent="0.3">
      <c r="C211">
        <v>187</v>
      </c>
      <c r="D211">
        <v>2897.3</v>
      </c>
      <c r="E211" t="s">
        <v>650</v>
      </c>
      <c r="F211">
        <v>4869.59</v>
      </c>
      <c r="G211" t="s">
        <v>650</v>
      </c>
      <c r="H211">
        <v>2158.11</v>
      </c>
      <c r="I211" t="s">
        <v>650</v>
      </c>
      <c r="K211" t="str">
        <f t="shared" si="5"/>
        <v>No</v>
      </c>
    </row>
    <row r="212" spans="3:11" x14ac:dyDescent="0.3">
      <c r="C212">
        <v>188</v>
      </c>
      <c r="D212">
        <v>2694.2</v>
      </c>
      <c r="E212" t="s">
        <v>650</v>
      </c>
      <c r="F212">
        <v>3380.11</v>
      </c>
      <c r="G212" t="s">
        <v>650</v>
      </c>
      <c r="H212">
        <v>2932.96</v>
      </c>
      <c r="I212" t="s">
        <v>650</v>
      </c>
      <c r="K212" t="str">
        <f t="shared" si="5"/>
        <v>No</v>
      </c>
    </row>
    <row r="213" spans="3:11" x14ac:dyDescent="0.3">
      <c r="C213">
        <v>189</v>
      </c>
      <c r="D213">
        <v>3427.68</v>
      </c>
      <c r="E213" t="s">
        <v>650</v>
      </c>
      <c r="F213">
        <v>3981.76</v>
      </c>
      <c r="G213" t="s">
        <v>650</v>
      </c>
      <c r="H213">
        <v>2281.23</v>
      </c>
      <c r="I213" t="s">
        <v>650</v>
      </c>
      <c r="K213" t="str">
        <f t="shared" si="5"/>
        <v>No</v>
      </c>
    </row>
    <row r="214" spans="3:11" x14ac:dyDescent="0.3">
      <c r="C214">
        <v>190</v>
      </c>
      <c r="D214">
        <v>2615.02</v>
      </c>
      <c r="E214" t="s">
        <v>650</v>
      </c>
      <c r="F214">
        <v>2529.77</v>
      </c>
      <c r="G214" t="s">
        <v>650</v>
      </c>
      <c r="H214">
        <v>4413.55</v>
      </c>
      <c r="I214" t="s">
        <v>650</v>
      </c>
      <c r="K214" t="str">
        <f t="shared" si="5"/>
        <v>No</v>
      </c>
    </row>
    <row r="215" spans="3:11" x14ac:dyDescent="0.3">
      <c r="C215">
        <v>191</v>
      </c>
      <c r="D215">
        <v>2346.0300000000002</v>
      </c>
      <c r="E215" t="s">
        <v>650</v>
      </c>
      <c r="F215">
        <v>2409.8200000000002</v>
      </c>
      <c r="G215" t="s">
        <v>650</v>
      </c>
      <c r="H215">
        <v>1678.05</v>
      </c>
      <c r="I215" t="s">
        <v>650</v>
      </c>
      <c r="K215" t="str">
        <f t="shared" si="5"/>
        <v>No</v>
      </c>
    </row>
    <row r="216" spans="3:11" x14ac:dyDescent="0.3">
      <c r="C216">
        <v>192</v>
      </c>
      <c r="D216">
        <v>3036.53</v>
      </c>
      <c r="E216" t="s">
        <v>650</v>
      </c>
      <c r="F216">
        <v>3604.83</v>
      </c>
      <c r="G216" t="s">
        <v>650</v>
      </c>
      <c r="H216">
        <v>1968.18</v>
      </c>
      <c r="I216" t="s">
        <v>650</v>
      </c>
      <c r="K216" t="str">
        <f t="shared" si="5"/>
        <v>No</v>
      </c>
    </row>
    <row r="217" spans="3:11" x14ac:dyDescent="0.3">
      <c r="C217">
        <v>193</v>
      </c>
      <c r="D217">
        <v>3275.09</v>
      </c>
      <c r="E217" t="s">
        <v>650</v>
      </c>
      <c r="F217">
        <v>2426.88</v>
      </c>
      <c r="G217" t="s">
        <v>650</v>
      </c>
      <c r="H217">
        <v>3820.46</v>
      </c>
      <c r="I217" t="s">
        <v>650</v>
      </c>
      <c r="K217" t="str">
        <f t="shared" ref="K217:K280" si="6">IF(AND(E217="No",G217="No",I217="No"),"No","Yes")</f>
        <v>No</v>
      </c>
    </row>
    <row r="218" spans="3:11" x14ac:dyDescent="0.3">
      <c r="C218">
        <v>194</v>
      </c>
      <c r="D218">
        <v>2123.61</v>
      </c>
      <c r="E218" t="s">
        <v>650</v>
      </c>
      <c r="F218">
        <v>3628.87</v>
      </c>
      <c r="G218" t="s">
        <v>650</v>
      </c>
      <c r="H218">
        <v>3361.31</v>
      </c>
      <c r="I218" t="s">
        <v>650</v>
      </c>
      <c r="K218" t="str">
        <f t="shared" si="6"/>
        <v>No</v>
      </c>
    </row>
    <row r="219" spans="3:11" x14ac:dyDescent="0.3">
      <c r="C219">
        <v>195</v>
      </c>
      <c r="D219">
        <v>3777.62</v>
      </c>
      <c r="E219" t="s">
        <v>650</v>
      </c>
      <c r="F219">
        <v>3830.46</v>
      </c>
      <c r="G219" t="s">
        <v>650</v>
      </c>
      <c r="H219">
        <v>3313.36</v>
      </c>
      <c r="I219" t="s">
        <v>650</v>
      </c>
      <c r="K219" t="str">
        <f t="shared" si="6"/>
        <v>No</v>
      </c>
    </row>
    <row r="220" spans="3:11" x14ac:dyDescent="0.3">
      <c r="C220">
        <v>196</v>
      </c>
      <c r="D220">
        <v>2821.16</v>
      </c>
      <c r="E220" t="s">
        <v>650</v>
      </c>
      <c r="F220">
        <v>3058.25</v>
      </c>
      <c r="G220" t="s">
        <v>650</v>
      </c>
      <c r="H220">
        <v>4304.2</v>
      </c>
      <c r="I220" t="s">
        <v>650</v>
      </c>
      <c r="K220" t="str">
        <f t="shared" si="6"/>
        <v>No</v>
      </c>
    </row>
    <row r="221" spans="3:11" x14ac:dyDescent="0.3">
      <c r="C221">
        <v>197</v>
      </c>
      <c r="D221">
        <v>2791.54</v>
      </c>
      <c r="E221" t="s">
        <v>650</v>
      </c>
      <c r="F221">
        <v>3213.55</v>
      </c>
      <c r="G221" t="s">
        <v>650</v>
      </c>
      <c r="H221">
        <v>3615.11</v>
      </c>
      <c r="I221" t="s">
        <v>650</v>
      </c>
      <c r="K221" t="str">
        <f t="shared" si="6"/>
        <v>No</v>
      </c>
    </row>
    <row r="222" spans="3:11" x14ac:dyDescent="0.3">
      <c r="C222">
        <v>198</v>
      </c>
      <c r="D222">
        <v>1989.61</v>
      </c>
      <c r="E222" t="s">
        <v>650</v>
      </c>
      <c r="F222">
        <v>3063.93</v>
      </c>
      <c r="G222" t="s">
        <v>650</v>
      </c>
      <c r="H222">
        <v>4599.09</v>
      </c>
      <c r="I222" t="s">
        <v>650</v>
      </c>
      <c r="K222" t="str">
        <f t="shared" si="6"/>
        <v>No</v>
      </c>
    </row>
    <row r="223" spans="3:11" x14ac:dyDescent="0.3">
      <c r="C223">
        <v>199</v>
      </c>
      <c r="D223">
        <v>2888.95</v>
      </c>
      <c r="E223" t="s">
        <v>650</v>
      </c>
      <c r="F223">
        <v>3891.93</v>
      </c>
      <c r="G223" t="s">
        <v>650</v>
      </c>
      <c r="H223">
        <v>3082.51</v>
      </c>
      <c r="I223" t="s">
        <v>650</v>
      </c>
      <c r="K223" t="str">
        <f t="shared" si="6"/>
        <v>No</v>
      </c>
    </row>
    <row r="224" spans="3:11" x14ac:dyDescent="0.3">
      <c r="C224">
        <v>200</v>
      </c>
      <c r="D224">
        <v>2894.27</v>
      </c>
      <c r="E224" t="s">
        <v>650</v>
      </c>
      <c r="F224">
        <v>2684.88</v>
      </c>
      <c r="G224" t="s">
        <v>650</v>
      </c>
      <c r="H224">
        <v>4140.32</v>
      </c>
      <c r="I224" t="s">
        <v>650</v>
      </c>
      <c r="K224" t="str">
        <f t="shared" si="6"/>
        <v>No</v>
      </c>
    </row>
    <row r="225" spans="3:11" x14ac:dyDescent="0.3">
      <c r="C225">
        <v>201</v>
      </c>
      <c r="D225">
        <v>2550.94</v>
      </c>
      <c r="E225" t="s">
        <v>650</v>
      </c>
      <c r="F225">
        <v>3211.14</v>
      </c>
      <c r="G225" t="s">
        <v>650</v>
      </c>
      <c r="H225">
        <v>1809.57</v>
      </c>
      <c r="I225" t="s">
        <v>650</v>
      </c>
      <c r="K225" t="str">
        <f t="shared" si="6"/>
        <v>No</v>
      </c>
    </row>
    <row r="226" spans="3:11" x14ac:dyDescent="0.3">
      <c r="C226">
        <v>202</v>
      </c>
      <c r="D226">
        <v>3313.07</v>
      </c>
      <c r="E226" t="s">
        <v>650</v>
      </c>
      <c r="F226">
        <v>2785.46</v>
      </c>
      <c r="G226" t="s">
        <v>650</v>
      </c>
      <c r="H226">
        <v>2816.38</v>
      </c>
      <c r="I226" t="s">
        <v>650</v>
      </c>
      <c r="K226" t="str">
        <f t="shared" si="6"/>
        <v>No</v>
      </c>
    </row>
    <row r="227" spans="3:11" x14ac:dyDescent="0.3">
      <c r="C227">
        <v>203</v>
      </c>
      <c r="D227">
        <v>3543.1</v>
      </c>
      <c r="E227" t="s">
        <v>650</v>
      </c>
      <c r="F227">
        <v>2622.53</v>
      </c>
      <c r="G227" t="s">
        <v>650</v>
      </c>
      <c r="H227">
        <v>3047.14</v>
      </c>
      <c r="I227" t="s">
        <v>650</v>
      </c>
      <c r="K227" t="str">
        <f t="shared" si="6"/>
        <v>No</v>
      </c>
    </row>
    <row r="228" spans="3:11" x14ac:dyDescent="0.3">
      <c r="C228">
        <v>204</v>
      </c>
      <c r="D228">
        <v>2248.44</v>
      </c>
      <c r="E228" t="s">
        <v>650</v>
      </c>
      <c r="F228">
        <v>3354.01</v>
      </c>
      <c r="G228" t="s">
        <v>650</v>
      </c>
      <c r="H228">
        <v>3118.37</v>
      </c>
      <c r="I228" t="s">
        <v>650</v>
      </c>
      <c r="K228" t="str">
        <f t="shared" si="6"/>
        <v>No</v>
      </c>
    </row>
    <row r="229" spans="3:11" x14ac:dyDescent="0.3">
      <c r="C229">
        <v>205</v>
      </c>
      <c r="D229">
        <v>2622.05</v>
      </c>
      <c r="E229" t="s">
        <v>650</v>
      </c>
      <c r="F229">
        <v>3301.25</v>
      </c>
      <c r="G229" t="s">
        <v>650</v>
      </c>
      <c r="H229">
        <v>3682.21</v>
      </c>
      <c r="I229" t="s">
        <v>650</v>
      </c>
      <c r="K229" t="str">
        <f t="shared" si="6"/>
        <v>No</v>
      </c>
    </row>
    <row r="230" spans="3:11" x14ac:dyDescent="0.3">
      <c r="C230">
        <v>206</v>
      </c>
      <c r="D230">
        <v>2142.66</v>
      </c>
      <c r="E230" t="s">
        <v>650</v>
      </c>
      <c r="F230">
        <v>3534.18</v>
      </c>
      <c r="G230" t="s">
        <v>650</v>
      </c>
      <c r="H230">
        <v>2952.4</v>
      </c>
      <c r="I230" t="s">
        <v>650</v>
      </c>
      <c r="K230" t="str">
        <f t="shared" si="6"/>
        <v>No</v>
      </c>
    </row>
    <row r="231" spans="3:11" x14ac:dyDescent="0.3">
      <c r="C231">
        <v>207</v>
      </c>
      <c r="D231">
        <v>2506.56</v>
      </c>
      <c r="E231" t="s">
        <v>650</v>
      </c>
      <c r="F231">
        <v>2776.02</v>
      </c>
      <c r="G231" t="s">
        <v>650</v>
      </c>
      <c r="H231">
        <v>2993.71</v>
      </c>
      <c r="I231" t="s">
        <v>650</v>
      </c>
      <c r="K231" t="str">
        <f t="shared" si="6"/>
        <v>No</v>
      </c>
    </row>
    <row r="232" spans="3:11" x14ac:dyDescent="0.3">
      <c r="C232">
        <v>208</v>
      </c>
      <c r="D232">
        <v>3049.65</v>
      </c>
      <c r="E232" t="s">
        <v>650</v>
      </c>
      <c r="F232">
        <v>3524.13</v>
      </c>
      <c r="G232" t="s">
        <v>650</v>
      </c>
      <c r="H232">
        <v>2045.87</v>
      </c>
      <c r="I232" t="s">
        <v>650</v>
      </c>
      <c r="K232" t="str">
        <f t="shared" si="6"/>
        <v>No</v>
      </c>
    </row>
    <row r="233" spans="3:11" x14ac:dyDescent="0.3">
      <c r="C233">
        <v>209</v>
      </c>
      <c r="D233">
        <v>2663.46</v>
      </c>
      <c r="E233" t="s">
        <v>650</v>
      </c>
      <c r="F233">
        <v>1977.5</v>
      </c>
      <c r="G233" t="s">
        <v>650</v>
      </c>
      <c r="H233">
        <v>3159.28</v>
      </c>
      <c r="I233" t="s">
        <v>650</v>
      </c>
      <c r="K233" t="str">
        <f t="shared" si="6"/>
        <v>No</v>
      </c>
    </row>
    <row r="234" spans="3:11" x14ac:dyDescent="0.3">
      <c r="C234">
        <v>210</v>
      </c>
      <c r="D234">
        <v>3134.1</v>
      </c>
      <c r="E234" t="s">
        <v>650</v>
      </c>
      <c r="F234">
        <v>3728.63</v>
      </c>
      <c r="G234" t="s">
        <v>650</v>
      </c>
      <c r="H234">
        <v>4560.04</v>
      </c>
      <c r="I234" t="s">
        <v>650</v>
      </c>
      <c r="K234" t="str">
        <f t="shared" si="6"/>
        <v>No</v>
      </c>
    </row>
    <row r="235" spans="3:11" x14ac:dyDescent="0.3">
      <c r="C235">
        <v>211</v>
      </c>
      <c r="D235">
        <v>2635.39</v>
      </c>
      <c r="E235" t="s">
        <v>650</v>
      </c>
      <c r="F235">
        <v>2937.73</v>
      </c>
      <c r="G235" t="s">
        <v>650</v>
      </c>
      <c r="H235">
        <v>4283.41</v>
      </c>
      <c r="I235" t="s">
        <v>650</v>
      </c>
      <c r="K235" t="str">
        <f t="shared" si="6"/>
        <v>No</v>
      </c>
    </row>
    <row r="236" spans="3:11" x14ac:dyDescent="0.3">
      <c r="C236">
        <v>212</v>
      </c>
      <c r="D236">
        <v>3483.96</v>
      </c>
      <c r="E236" t="s">
        <v>650</v>
      </c>
      <c r="F236">
        <v>2634.55</v>
      </c>
      <c r="G236" t="s">
        <v>650</v>
      </c>
      <c r="H236">
        <v>2991.13</v>
      </c>
      <c r="I236" t="s">
        <v>650</v>
      </c>
      <c r="K236" t="str">
        <f t="shared" si="6"/>
        <v>No</v>
      </c>
    </row>
    <row r="237" spans="3:11" x14ac:dyDescent="0.3">
      <c r="C237">
        <v>213</v>
      </c>
      <c r="D237">
        <v>2688.57</v>
      </c>
      <c r="E237" t="s">
        <v>650</v>
      </c>
      <c r="F237">
        <v>1596.55</v>
      </c>
      <c r="G237" t="s">
        <v>650</v>
      </c>
      <c r="H237">
        <v>3259.63</v>
      </c>
      <c r="I237" t="s">
        <v>650</v>
      </c>
      <c r="K237" t="str">
        <f t="shared" si="6"/>
        <v>No</v>
      </c>
    </row>
    <row r="238" spans="3:11" x14ac:dyDescent="0.3">
      <c r="C238">
        <v>214</v>
      </c>
      <c r="D238">
        <v>3272.33</v>
      </c>
      <c r="E238" t="s">
        <v>650</v>
      </c>
      <c r="F238">
        <v>3184.5</v>
      </c>
      <c r="G238" t="s">
        <v>650</v>
      </c>
      <c r="H238">
        <v>3651.79</v>
      </c>
      <c r="I238" t="s">
        <v>650</v>
      </c>
      <c r="K238" t="str">
        <f t="shared" si="6"/>
        <v>No</v>
      </c>
    </row>
    <row r="239" spans="3:11" x14ac:dyDescent="0.3">
      <c r="C239">
        <v>215</v>
      </c>
      <c r="D239">
        <v>2630.52</v>
      </c>
      <c r="E239" t="s">
        <v>650</v>
      </c>
      <c r="F239">
        <v>4271.3599999999997</v>
      </c>
      <c r="G239" t="s">
        <v>650</v>
      </c>
      <c r="H239">
        <v>3288.71</v>
      </c>
      <c r="I239" t="s">
        <v>650</v>
      </c>
      <c r="K239" t="str">
        <f t="shared" si="6"/>
        <v>No</v>
      </c>
    </row>
    <row r="240" spans="3:11" x14ac:dyDescent="0.3">
      <c r="C240">
        <v>216</v>
      </c>
      <c r="D240">
        <v>2596.16</v>
      </c>
      <c r="E240" t="s">
        <v>650</v>
      </c>
      <c r="F240">
        <v>3512.85</v>
      </c>
      <c r="G240" t="s">
        <v>650</v>
      </c>
      <c r="H240">
        <v>2447.39</v>
      </c>
      <c r="I240" t="s">
        <v>650</v>
      </c>
      <c r="K240" t="str">
        <f t="shared" si="6"/>
        <v>No</v>
      </c>
    </row>
    <row r="241" spans="3:11" x14ac:dyDescent="0.3">
      <c r="C241">
        <v>217</v>
      </c>
      <c r="D241">
        <v>3051.6</v>
      </c>
      <c r="E241" t="s">
        <v>650</v>
      </c>
      <c r="F241">
        <v>2837.33</v>
      </c>
      <c r="G241" t="s">
        <v>650</v>
      </c>
      <c r="H241">
        <v>3705.33</v>
      </c>
      <c r="I241" t="s">
        <v>650</v>
      </c>
      <c r="K241" t="str">
        <f t="shared" si="6"/>
        <v>No</v>
      </c>
    </row>
    <row r="242" spans="3:11" x14ac:dyDescent="0.3">
      <c r="C242">
        <v>218</v>
      </c>
      <c r="D242">
        <v>2645.62</v>
      </c>
      <c r="E242" t="s">
        <v>650</v>
      </c>
      <c r="F242">
        <v>3257.54</v>
      </c>
      <c r="G242" t="s">
        <v>650</v>
      </c>
      <c r="H242">
        <v>2144.86</v>
      </c>
      <c r="I242" t="s">
        <v>650</v>
      </c>
      <c r="K242" t="str">
        <f t="shared" si="6"/>
        <v>No</v>
      </c>
    </row>
    <row r="243" spans="3:11" x14ac:dyDescent="0.3">
      <c r="C243">
        <v>219</v>
      </c>
      <c r="D243">
        <v>2556.46</v>
      </c>
      <c r="E243" t="s">
        <v>650</v>
      </c>
      <c r="F243">
        <v>3726.54</v>
      </c>
      <c r="G243" t="s">
        <v>650</v>
      </c>
      <c r="H243">
        <v>4432.01</v>
      </c>
      <c r="I243" t="s">
        <v>650</v>
      </c>
      <c r="K243" t="str">
        <f t="shared" si="6"/>
        <v>No</v>
      </c>
    </row>
    <row r="244" spans="3:11" x14ac:dyDescent="0.3">
      <c r="C244">
        <v>220</v>
      </c>
      <c r="D244">
        <v>2918</v>
      </c>
      <c r="E244" t="s">
        <v>650</v>
      </c>
      <c r="F244">
        <v>2954.24</v>
      </c>
      <c r="G244" t="s">
        <v>650</v>
      </c>
      <c r="H244">
        <v>4133.29</v>
      </c>
      <c r="I244" t="s">
        <v>650</v>
      </c>
      <c r="K244" t="str">
        <f t="shared" si="6"/>
        <v>No</v>
      </c>
    </row>
    <row r="245" spans="3:11" x14ac:dyDescent="0.3">
      <c r="C245">
        <v>221</v>
      </c>
      <c r="D245">
        <v>2958.95</v>
      </c>
      <c r="E245" t="s">
        <v>650</v>
      </c>
      <c r="F245">
        <v>2811.09</v>
      </c>
      <c r="G245" t="s">
        <v>650</v>
      </c>
      <c r="H245">
        <v>2007.49</v>
      </c>
      <c r="I245" t="s">
        <v>650</v>
      </c>
      <c r="K245" t="str">
        <f t="shared" si="6"/>
        <v>No</v>
      </c>
    </row>
    <row r="246" spans="3:11" x14ac:dyDescent="0.3">
      <c r="C246">
        <v>222</v>
      </c>
      <c r="D246">
        <v>2631.31</v>
      </c>
      <c r="E246" t="s">
        <v>650</v>
      </c>
      <c r="F246">
        <v>3118.31</v>
      </c>
      <c r="G246" t="s">
        <v>650</v>
      </c>
      <c r="H246">
        <v>4078.88</v>
      </c>
      <c r="I246" t="s">
        <v>650</v>
      </c>
      <c r="K246" t="str">
        <f t="shared" si="6"/>
        <v>No</v>
      </c>
    </row>
    <row r="247" spans="3:11" x14ac:dyDescent="0.3">
      <c r="C247">
        <v>223</v>
      </c>
      <c r="D247">
        <v>3262.27</v>
      </c>
      <c r="E247" t="s">
        <v>650</v>
      </c>
      <c r="F247">
        <v>2639.3</v>
      </c>
      <c r="G247" t="s">
        <v>650</v>
      </c>
      <c r="H247">
        <v>3102.72</v>
      </c>
      <c r="I247" t="s">
        <v>650</v>
      </c>
      <c r="K247" t="str">
        <f t="shared" si="6"/>
        <v>No</v>
      </c>
    </row>
    <row r="248" spans="3:11" x14ac:dyDescent="0.3">
      <c r="C248">
        <v>224</v>
      </c>
      <c r="D248">
        <v>2998.83</v>
      </c>
      <c r="E248" t="s">
        <v>650</v>
      </c>
      <c r="F248">
        <v>3949.9</v>
      </c>
      <c r="G248" t="s">
        <v>650</v>
      </c>
      <c r="H248">
        <v>3991.25</v>
      </c>
      <c r="I248" t="s">
        <v>650</v>
      </c>
      <c r="K248" t="str">
        <f t="shared" si="6"/>
        <v>No</v>
      </c>
    </row>
    <row r="249" spans="3:11" x14ac:dyDescent="0.3">
      <c r="C249">
        <v>225</v>
      </c>
      <c r="D249">
        <v>2553.58</v>
      </c>
      <c r="E249" t="s">
        <v>650</v>
      </c>
      <c r="F249">
        <v>3623.02</v>
      </c>
      <c r="G249" t="s">
        <v>650</v>
      </c>
      <c r="H249">
        <v>3654.24</v>
      </c>
      <c r="I249" t="s">
        <v>650</v>
      </c>
      <c r="K249" t="str">
        <f t="shared" si="6"/>
        <v>No</v>
      </c>
    </row>
    <row r="250" spans="3:11" x14ac:dyDescent="0.3">
      <c r="C250">
        <v>226</v>
      </c>
      <c r="D250">
        <v>3535.97</v>
      </c>
      <c r="E250" t="s">
        <v>650</v>
      </c>
      <c r="F250">
        <v>4351.88</v>
      </c>
      <c r="G250" t="s">
        <v>650</v>
      </c>
      <c r="H250">
        <v>2244.37</v>
      </c>
      <c r="I250" t="s">
        <v>650</v>
      </c>
      <c r="K250" t="str">
        <f t="shared" si="6"/>
        <v>No</v>
      </c>
    </row>
    <row r="251" spans="3:11" x14ac:dyDescent="0.3">
      <c r="C251">
        <v>227</v>
      </c>
      <c r="D251">
        <v>3103.13</v>
      </c>
      <c r="E251" t="s">
        <v>650</v>
      </c>
      <c r="F251">
        <v>3322.43</v>
      </c>
      <c r="G251" t="s">
        <v>650</v>
      </c>
      <c r="H251">
        <v>4299.41</v>
      </c>
      <c r="I251" t="s">
        <v>650</v>
      </c>
      <c r="K251" t="str">
        <f t="shared" si="6"/>
        <v>No</v>
      </c>
    </row>
    <row r="252" spans="3:11" x14ac:dyDescent="0.3">
      <c r="C252">
        <v>228</v>
      </c>
      <c r="D252">
        <v>3174.77</v>
      </c>
      <c r="E252" t="s">
        <v>650</v>
      </c>
      <c r="F252">
        <v>1312.87</v>
      </c>
      <c r="G252" t="s">
        <v>650</v>
      </c>
      <c r="H252">
        <v>4670.93</v>
      </c>
      <c r="I252" t="s">
        <v>650</v>
      </c>
      <c r="K252" t="str">
        <f t="shared" si="6"/>
        <v>No</v>
      </c>
    </row>
    <row r="253" spans="3:11" x14ac:dyDescent="0.3">
      <c r="C253">
        <v>229</v>
      </c>
      <c r="D253">
        <v>3528.61</v>
      </c>
      <c r="E253" t="s">
        <v>650</v>
      </c>
      <c r="F253">
        <v>3690.59</v>
      </c>
      <c r="G253" t="s">
        <v>650</v>
      </c>
      <c r="H253">
        <v>2256.6999999999998</v>
      </c>
      <c r="I253" t="s">
        <v>650</v>
      </c>
      <c r="K253" t="str">
        <f t="shared" si="6"/>
        <v>No</v>
      </c>
    </row>
    <row r="254" spans="3:11" x14ac:dyDescent="0.3">
      <c r="C254">
        <v>230</v>
      </c>
      <c r="D254">
        <v>3231.84</v>
      </c>
      <c r="E254" t="s">
        <v>650</v>
      </c>
      <c r="F254">
        <v>3505.7</v>
      </c>
      <c r="G254" t="s">
        <v>650</v>
      </c>
      <c r="H254">
        <v>2375.0500000000002</v>
      </c>
      <c r="I254" t="s">
        <v>650</v>
      </c>
      <c r="K254" t="str">
        <f t="shared" si="6"/>
        <v>No</v>
      </c>
    </row>
    <row r="255" spans="3:11" x14ac:dyDescent="0.3">
      <c r="C255">
        <v>231</v>
      </c>
      <c r="D255">
        <v>3923.37</v>
      </c>
      <c r="E255" t="s">
        <v>650</v>
      </c>
      <c r="F255">
        <v>3389.35</v>
      </c>
      <c r="G255" t="s">
        <v>650</v>
      </c>
      <c r="H255">
        <v>1650.44</v>
      </c>
      <c r="I255" t="s">
        <v>650</v>
      </c>
      <c r="K255" t="str">
        <f t="shared" si="6"/>
        <v>No</v>
      </c>
    </row>
    <row r="256" spans="3:11" x14ac:dyDescent="0.3">
      <c r="C256">
        <v>232</v>
      </c>
      <c r="D256">
        <v>2485.0100000000002</v>
      </c>
      <c r="E256" t="s">
        <v>650</v>
      </c>
      <c r="F256">
        <v>2405.0500000000002</v>
      </c>
      <c r="G256" t="s">
        <v>650</v>
      </c>
      <c r="H256">
        <v>3209.63</v>
      </c>
      <c r="I256" t="s">
        <v>650</v>
      </c>
      <c r="K256" t="str">
        <f t="shared" si="6"/>
        <v>No</v>
      </c>
    </row>
    <row r="257" spans="3:11" x14ac:dyDescent="0.3">
      <c r="C257">
        <v>233</v>
      </c>
      <c r="D257">
        <v>3400.35</v>
      </c>
      <c r="E257" t="s">
        <v>650</v>
      </c>
      <c r="F257">
        <v>2838.73</v>
      </c>
      <c r="G257" t="s">
        <v>650</v>
      </c>
      <c r="H257">
        <v>3458.79</v>
      </c>
      <c r="I257" t="s">
        <v>650</v>
      </c>
      <c r="K257" t="str">
        <f t="shared" si="6"/>
        <v>No</v>
      </c>
    </row>
    <row r="258" spans="3:11" x14ac:dyDescent="0.3">
      <c r="C258">
        <v>234</v>
      </c>
      <c r="D258">
        <v>3409.88</v>
      </c>
      <c r="E258" t="s">
        <v>650</v>
      </c>
      <c r="F258">
        <v>2463.34</v>
      </c>
      <c r="G258" t="s">
        <v>650</v>
      </c>
      <c r="H258">
        <v>3291.87</v>
      </c>
      <c r="I258" t="s">
        <v>650</v>
      </c>
      <c r="K258" t="str">
        <f t="shared" si="6"/>
        <v>No</v>
      </c>
    </row>
    <row r="259" spans="3:11" x14ac:dyDescent="0.3">
      <c r="C259">
        <v>235</v>
      </c>
      <c r="D259">
        <v>3687.09</v>
      </c>
      <c r="E259" t="s">
        <v>650</v>
      </c>
      <c r="F259">
        <v>1952.34</v>
      </c>
      <c r="G259" t="s">
        <v>650</v>
      </c>
      <c r="H259">
        <v>1770.36</v>
      </c>
      <c r="I259" t="s">
        <v>650</v>
      </c>
      <c r="K259" t="str">
        <f t="shared" si="6"/>
        <v>No</v>
      </c>
    </row>
    <row r="260" spans="3:11" x14ac:dyDescent="0.3">
      <c r="C260">
        <v>236</v>
      </c>
      <c r="D260">
        <v>3990.98</v>
      </c>
      <c r="E260" t="s">
        <v>650</v>
      </c>
      <c r="F260">
        <v>2802.22</v>
      </c>
      <c r="G260" t="s">
        <v>650</v>
      </c>
      <c r="H260">
        <v>3550.09</v>
      </c>
      <c r="I260" t="s">
        <v>650</v>
      </c>
      <c r="K260" t="str">
        <f t="shared" si="6"/>
        <v>No</v>
      </c>
    </row>
    <row r="261" spans="3:11" x14ac:dyDescent="0.3">
      <c r="C261">
        <v>237</v>
      </c>
      <c r="D261">
        <v>2783.27</v>
      </c>
      <c r="E261" t="s">
        <v>650</v>
      </c>
      <c r="F261">
        <v>2773.62</v>
      </c>
      <c r="G261" t="s">
        <v>650</v>
      </c>
      <c r="H261">
        <v>2954.03</v>
      </c>
      <c r="I261" t="s">
        <v>650</v>
      </c>
      <c r="K261" t="str">
        <f t="shared" si="6"/>
        <v>No</v>
      </c>
    </row>
    <row r="262" spans="3:11" x14ac:dyDescent="0.3">
      <c r="C262">
        <v>238</v>
      </c>
      <c r="D262">
        <v>2574.8200000000002</v>
      </c>
      <c r="E262" t="s">
        <v>650</v>
      </c>
      <c r="F262">
        <v>2289.8200000000002</v>
      </c>
      <c r="G262" t="s">
        <v>650</v>
      </c>
      <c r="H262">
        <v>2574.41</v>
      </c>
      <c r="I262" t="s">
        <v>650</v>
      </c>
      <c r="K262" t="str">
        <f t="shared" si="6"/>
        <v>No</v>
      </c>
    </row>
    <row r="263" spans="3:11" x14ac:dyDescent="0.3">
      <c r="C263">
        <v>239</v>
      </c>
      <c r="D263">
        <v>2600.52</v>
      </c>
      <c r="E263" t="s">
        <v>650</v>
      </c>
      <c r="F263">
        <v>3198.65</v>
      </c>
      <c r="G263" t="s">
        <v>650</v>
      </c>
      <c r="H263">
        <v>2769.18</v>
      </c>
      <c r="I263" t="s">
        <v>650</v>
      </c>
      <c r="K263" t="str">
        <f t="shared" si="6"/>
        <v>No</v>
      </c>
    </row>
    <row r="264" spans="3:11" x14ac:dyDescent="0.3">
      <c r="C264">
        <v>240</v>
      </c>
      <c r="D264">
        <v>2837.71</v>
      </c>
      <c r="E264" t="s">
        <v>650</v>
      </c>
      <c r="F264">
        <v>4076.37</v>
      </c>
      <c r="G264" t="s">
        <v>650</v>
      </c>
      <c r="H264">
        <v>2810.42</v>
      </c>
      <c r="I264" t="s">
        <v>650</v>
      </c>
      <c r="K264" t="str">
        <f t="shared" si="6"/>
        <v>No</v>
      </c>
    </row>
    <row r="265" spans="3:11" x14ac:dyDescent="0.3">
      <c r="C265">
        <v>241</v>
      </c>
      <c r="D265">
        <v>3317.2</v>
      </c>
      <c r="E265" t="s">
        <v>650</v>
      </c>
      <c r="F265">
        <v>3508.12</v>
      </c>
      <c r="G265" t="s">
        <v>650</v>
      </c>
      <c r="H265">
        <v>5121.1899999999996</v>
      </c>
      <c r="I265" t="s">
        <v>650</v>
      </c>
      <c r="K265" t="str">
        <f t="shared" si="6"/>
        <v>No</v>
      </c>
    </row>
    <row r="266" spans="3:11" x14ac:dyDescent="0.3">
      <c r="C266">
        <v>242</v>
      </c>
      <c r="D266">
        <v>3359.38</v>
      </c>
      <c r="E266" t="s">
        <v>650</v>
      </c>
      <c r="F266">
        <v>2787.99</v>
      </c>
      <c r="G266" t="s">
        <v>650</v>
      </c>
      <c r="H266">
        <v>4110.1000000000004</v>
      </c>
      <c r="I266" t="s">
        <v>650</v>
      </c>
      <c r="K266" t="str">
        <f t="shared" si="6"/>
        <v>No</v>
      </c>
    </row>
    <row r="267" spans="3:11" x14ac:dyDescent="0.3">
      <c r="C267">
        <v>243</v>
      </c>
      <c r="D267">
        <v>3400.41</v>
      </c>
      <c r="E267" t="s">
        <v>650</v>
      </c>
      <c r="F267">
        <v>2348.04</v>
      </c>
      <c r="G267" t="s">
        <v>650</v>
      </c>
      <c r="H267">
        <v>4327.28</v>
      </c>
      <c r="I267" t="s">
        <v>650</v>
      </c>
      <c r="K267" t="str">
        <f t="shared" si="6"/>
        <v>No</v>
      </c>
    </row>
    <row r="268" spans="3:11" x14ac:dyDescent="0.3">
      <c r="C268">
        <v>244</v>
      </c>
      <c r="D268">
        <v>2545.42</v>
      </c>
      <c r="E268" t="s">
        <v>650</v>
      </c>
      <c r="F268">
        <v>3488.23</v>
      </c>
      <c r="G268" t="s">
        <v>650</v>
      </c>
      <c r="H268">
        <v>2965.85</v>
      </c>
      <c r="I268" t="s">
        <v>650</v>
      </c>
      <c r="K268" t="str">
        <f t="shared" si="6"/>
        <v>No</v>
      </c>
    </row>
    <row r="269" spans="3:11" x14ac:dyDescent="0.3">
      <c r="C269">
        <v>245</v>
      </c>
      <c r="D269">
        <v>2976.7</v>
      </c>
      <c r="E269" t="s">
        <v>650</v>
      </c>
      <c r="F269">
        <v>3497.91</v>
      </c>
      <c r="G269" t="s">
        <v>650</v>
      </c>
      <c r="H269">
        <v>4009.94</v>
      </c>
      <c r="I269" t="s">
        <v>650</v>
      </c>
      <c r="K269" t="str">
        <f t="shared" si="6"/>
        <v>No</v>
      </c>
    </row>
    <row r="270" spans="3:11" x14ac:dyDescent="0.3">
      <c r="C270">
        <v>246</v>
      </c>
      <c r="D270">
        <v>3567.61</v>
      </c>
      <c r="E270" t="s">
        <v>650</v>
      </c>
      <c r="F270">
        <v>2145.3200000000002</v>
      </c>
      <c r="G270" t="s">
        <v>650</v>
      </c>
      <c r="H270">
        <v>3384.32</v>
      </c>
      <c r="I270" t="s">
        <v>650</v>
      </c>
      <c r="K270" t="str">
        <f t="shared" si="6"/>
        <v>No</v>
      </c>
    </row>
    <row r="271" spans="3:11" x14ac:dyDescent="0.3">
      <c r="C271">
        <v>247</v>
      </c>
      <c r="D271">
        <v>3085.97</v>
      </c>
      <c r="E271" t="s">
        <v>650</v>
      </c>
      <c r="F271">
        <v>3642.17</v>
      </c>
      <c r="G271" t="s">
        <v>650</v>
      </c>
      <c r="H271">
        <v>3599.54</v>
      </c>
      <c r="I271" t="s">
        <v>650</v>
      </c>
      <c r="K271" t="str">
        <f t="shared" si="6"/>
        <v>No</v>
      </c>
    </row>
    <row r="272" spans="3:11" x14ac:dyDescent="0.3">
      <c r="C272">
        <v>248</v>
      </c>
      <c r="D272">
        <v>3277.18</v>
      </c>
      <c r="E272" t="s">
        <v>650</v>
      </c>
      <c r="F272">
        <v>3972.06</v>
      </c>
      <c r="G272" t="s">
        <v>650</v>
      </c>
      <c r="H272">
        <v>2528.09</v>
      </c>
      <c r="I272" t="s">
        <v>650</v>
      </c>
      <c r="K272" t="str">
        <f t="shared" si="6"/>
        <v>No</v>
      </c>
    </row>
    <row r="273" spans="3:11" x14ac:dyDescent="0.3">
      <c r="C273">
        <v>249</v>
      </c>
      <c r="D273">
        <v>2658.06</v>
      </c>
      <c r="E273" t="s">
        <v>650</v>
      </c>
      <c r="F273">
        <v>2323.21</v>
      </c>
      <c r="G273" t="s">
        <v>650</v>
      </c>
      <c r="H273">
        <v>2233.71</v>
      </c>
      <c r="I273" t="s">
        <v>650</v>
      </c>
      <c r="K273" t="str">
        <f t="shared" si="6"/>
        <v>No</v>
      </c>
    </row>
    <row r="274" spans="3:11" x14ac:dyDescent="0.3">
      <c r="C274">
        <v>250</v>
      </c>
      <c r="D274">
        <v>2856.68</v>
      </c>
      <c r="E274" t="s">
        <v>650</v>
      </c>
      <c r="F274">
        <v>2721.69</v>
      </c>
      <c r="G274" t="s">
        <v>650</v>
      </c>
      <c r="H274">
        <v>2665.78</v>
      </c>
      <c r="I274" t="s">
        <v>650</v>
      </c>
      <c r="K274" t="str">
        <f t="shared" si="6"/>
        <v>No</v>
      </c>
    </row>
    <row r="275" spans="3:11" x14ac:dyDescent="0.3">
      <c r="C275">
        <v>251</v>
      </c>
      <c r="D275">
        <v>1652.41</v>
      </c>
      <c r="E275" t="s">
        <v>650</v>
      </c>
      <c r="F275">
        <v>2532.4</v>
      </c>
      <c r="G275" t="s">
        <v>650</v>
      </c>
      <c r="H275">
        <v>3439.57</v>
      </c>
      <c r="I275" t="s">
        <v>650</v>
      </c>
      <c r="K275" t="str">
        <f t="shared" si="6"/>
        <v>No</v>
      </c>
    </row>
    <row r="276" spans="3:11" x14ac:dyDescent="0.3">
      <c r="C276">
        <v>252</v>
      </c>
      <c r="D276">
        <v>2667.9</v>
      </c>
      <c r="E276" t="s">
        <v>650</v>
      </c>
      <c r="F276">
        <v>3131.83</v>
      </c>
      <c r="G276" t="s">
        <v>650</v>
      </c>
      <c r="H276">
        <v>2027.64</v>
      </c>
      <c r="I276" t="s">
        <v>650</v>
      </c>
      <c r="K276" t="str">
        <f t="shared" si="6"/>
        <v>No</v>
      </c>
    </row>
    <row r="277" spans="3:11" x14ac:dyDescent="0.3">
      <c r="C277">
        <v>253</v>
      </c>
      <c r="D277">
        <v>2127.15</v>
      </c>
      <c r="E277" t="s">
        <v>650</v>
      </c>
      <c r="F277">
        <v>1759.91</v>
      </c>
      <c r="G277" t="s">
        <v>650</v>
      </c>
      <c r="H277">
        <v>3581.64</v>
      </c>
      <c r="I277" t="s">
        <v>650</v>
      </c>
      <c r="K277" t="str">
        <f t="shared" si="6"/>
        <v>No</v>
      </c>
    </row>
    <row r="278" spans="3:11" x14ac:dyDescent="0.3">
      <c r="C278">
        <v>254</v>
      </c>
      <c r="D278">
        <v>3402.86</v>
      </c>
      <c r="E278" t="s">
        <v>650</v>
      </c>
      <c r="F278">
        <v>2974.38</v>
      </c>
      <c r="G278" t="s">
        <v>650</v>
      </c>
      <c r="H278">
        <v>3597.33</v>
      </c>
      <c r="I278" t="s">
        <v>650</v>
      </c>
      <c r="K278" t="str">
        <f t="shared" si="6"/>
        <v>No</v>
      </c>
    </row>
    <row r="279" spans="3:11" x14ac:dyDescent="0.3">
      <c r="C279">
        <v>255</v>
      </c>
      <c r="D279">
        <v>2633.17</v>
      </c>
      <c r="E279" t="s">
        <v>650</v>
      </c>
      <c r="F279">
        <v>3511.77</v>
      </c>
      <c r="G279" t="s">
        <v>650</v>
      </c>
      <c r="H279">
        <v>2599.23</v>
      </c>
      <c r="I279" t="s">
        <v>650</v>
      </c>
      <c r="K279" t="str">
        <f t="shared" si="6"/>
        <v>No</v>
      </c>
    </row>
    <row r="280" spans="3:11" x14ac:dyDescent="0.3">
      <c r="C280">
        <v>256</v>
      </c>
      <c r="D280">
        <v>3595.45</v>
      </c>
      <c r="E280" t="s">
        <v>650</v>
      </c>
      <c r="F280">
        <v>2284.54</v>
      </c>
      <c r="G280" t="s">
        <v>650</v>
      </c>
      <c r="H280">
        <v>4152.91</v>
      </c>
      <c r="I280" t="s">
        <v>650</v>
      </c>
      <c r="K280" t="str">
        <f t="shared" si="6"/>
        <v>No</v>
      </c>
    </row>
    <row r="281" spans="3:11" x14ac:dyDescent="0.3">
      <c r="C281">
        <v>257</v>
      </c>
      <c r="D281">
        <v>3607.16</v>
      </c>
      <c r="E281" t="s">
        <v>650</v>
      </c>
      <c r="F281">
        <v>2533.7600000000002</v>
      </c>
      <c r="G281" t="s">
        <v>650</v>
      </c>
      <c r="H281">
        <v>2410.42</v>
      </c>
      <c r="I281" t="s">
        <v>650</v>
      </c>
      <c r="K281" t="str">
        <f t="shared" ref="K281:K344" si="7">IF(AND(E281="No",G281="No",I281="No"),"No","Yes")</f>
        <v>No</v>
      </c>
    </row>
    <row r="282" spans="3:11" x14ac:dyDescent="0.3">
      <c r="C282">
        <v>258</v>
      </c>
      <c r="D282">
        <v>2285.34</v>
      </c>
      <c r="E282" t="s">
        <v>650</v>
      </c>
      <c r="F282">
        <v>2285.62</v>
      </c>
      <c r="G282" t="s">
        <v>650</v>
      </c>
      <c r="H282">
        <v>2728.84</v>
      </c>
      <c r="I282" t="s">
        <v>650</v>
      </c>
      <c r="K282" t="str">
        <f t="shared" si="7"/>
        <v>No</v>
      </c>
    </row>
    <row r="283" spans="3:11" x14ac:dyDescent="0.3">
      <c r="C283">
        <v>259</v>
      </c>
      <c r="D283">
        <v>3401.83</v>
      </c>
      <c r="E283" t="s">
        <v>650</v>
      </c>
      <c r="F283">
        <v>4894.82</v>
      </c>
      <c r="G283" t="s">
        <v>650</v>
      </c>
      <c r="H283">
        <v>3920.11</v>
      </c>
      <c r="I283" t="s">
        <v>650</v>
      </c>
      <c r="K283" t="str">
        <f t="shared" si="7"/>
        <v>No</v>
      </c>
    </row>
    <row r="284" spans="3:11" x14ac:dyDescent="0.3">
      <c r="C284">
        <v>260</v>
      </c>
      <c r="D284">
        <v>3077.62</v>
      </c>
      <c r="E284" t="s">
        <v>650</v>
      </c>
      <c r="F284">
        <v>3220.44</v>
      </c>
      <c r="G284" t="s">
        <v>650</v>
      </c>
      <c r="H284">
        <v>2376.79</v>
      </c>
      <c r="I284" t="s">
        <v>650</v>
      </c>
      <c r="K284" t="str">
        <f t="shared" si="7"/>
        <v>No</v>
      </c>
    </row>
    <row r="285" spans="3:11" x14ac:dyDescent="0.3">
      <c r="C285">
        <v>261</v>
      </c>
      <c r="D285">
        <v>2795.08</v>
      </c>
      <c r="E285" t="s">
        <v>650</v>
      </c>
      <c r="F285">
        <v>2843.84</v>
      </c>
      <c r="G285" t="s">
        <v>650</v>
      </c>
      <c r="H285">
        <v>3384.54</v>
      </c>
      <c r="I285" t="s">
        <v>650</v>
      </c>
      <c r="K285" t="str">
        <f t="shared" si="7"/>
        <v>No</v>
      </c>
    </row>
    <row r="286" spans="3:11" x14ac:dyDescent="0.3">
      <c r="C286">
        <v>262</v>
      </c>
      <c r="D286">
        <v>2879.49</v>
      </c>
      <c r="E286" t="s">
        <v>650</v>
      </c>
      <c r="F286">
        <v>3757.1</v>
      </c>
      <c r="G286" t="s">
        <v>650</v>
      </c>
      <c r="H286">
        <v>1678.03</v>
      </c>
      <c r="I286" t="s">
        <v>650</v>
      </c>
      <c r="K286" t="str">
        <f t="shared" si="7"/>
        <v>No</v>
      </c>
    </row>
    <row r="287" spans="3:11" x14ac:dyDescent="0.3">
      <c r="C287">
        <v>263</v>
      </c>
      <c r="D287">
        <v>2894.41</v>
      </c>
      <c r="E287" t="s">
        <v>650</v>
      </c>
      <c r="F287">
        <v>4342.2299999999996</v>
      </c>
      <c r="G287" t="s">
        <v>650</v>
      </c>
      <c r="H287">
        <v>3063</v>
      </c>
      <c r="I287" t="s">
        <v>650</v>
      </c>
      <c r="K287" t="str">
        <f t="shared" si="7"/>
        <v>No</v>
      </c>
    </row>
    <row r="288" spans="3:11" x14ac:dyDescent="0.3">
      <c r="C288">
        <v>264</v>
      </c>
      <c r="D288">
        <v>2330.9699999999998</v>
      </c>
      <c r="E288" t="s">
        <v>650</v>
      </c>
      <c r="F288">
        <v>3025.59</v>
      </c>
      <c r="G288" t="s">
        <v>650</v>
      </c>
      <c r="H288">
        <v>4038.45</v>
      </c>
      <c r="I288" t="s">
        <v>650</v>
      </c>
      <c r="K288" t="str">
        <f t="shared" si="7"/>
        <v>No</v>
      </c>
    </row>
    <row r="289" spans="3:11" x14ac:dyDescent="0.3">
      <c r="C289">
        <v>265</v>
      </c>
      <c r="D289">
        <v>2684.48</v>
      </c>
      <c r="E289" t="s">
        <v>650</v>
      </c>
      <c r="F289">
        <v>3002.26</v>
      </c>
      <c r="G289" t="s">
        <v>650</v>
      </c>
      <c r="H289">
        <v>3808.64</v>
      </c>
      <c r="I289" t="s">
        <v>650</v>
      </c>
      <c r="K289" t="str">
        <f t="shared" si="7"/>
        <v>No</v>
      </c>
    </row>
    <row r="290" spans="3:11" x14ac:dyDescent="0.3">
      <c r="C290">
        <v>266</v>
      </c>
      <c r="D290">
        <v>2887.91</v>
      </c>
      <c r="E290" t="s">
        <v>650</v>
      </c>
      <c r="F290">
        <v>3107.73</v>
      </c>
      <c r="G290" t="s">
        <v>650</v>
      </c>
      <c r="H290">
        <v>1927</v>
      </c>
      <c r="I290" t="s">
        <v>650</v>
      </c>
      <c r="K290" t="str">
        <f t="shared" si="7"/>
        <v>No</v>
      </c>
    </row>
    <row r="291" spans="3:11" x14ac:dyDescent="0.3">
      <c r="C291">
        <v>267</v>
      </c>
      <c r="D291">
        <v>2824.08</v>
      </c>
      <c r="E291" t="s">
        <v>650</v>
      </c>
      <c r="F291">
        <v>2693.34</v>
      </c>
      <c r="G291" t="s">
        <v>650</v>
      </c>
      <c r="H291">
        <v>2886.34</v>
      </c>
      <c r="I291" t="s">
        <v>650</v>
      </c>
      <c r="K291" t="str">
        <f t="shared" si="7"/>
        <v>No</v>
      </c>
    </row>
    <row r="292" spans="3:11" x14ac:dyDescent="0.3">
      <c r="C292">
        <v>268</v>
      </c>
      <c r="D292">
        <v>3030.78</v>
      </c>
      <c r="E292" t="s">
        <v>650</v>
      </c>
      <c r="F292">
        <v>1957.05</v>
      </c>
      <c r="G292" t="s">
        <v>650</v>
      </c>
      <c r="H292">
        <v>3013.53</v>
      </c>
      <c r="I292" t="s">
        <v>650</v>
      </c>
      <c r="K292" t="str">
        <f t="shared" si="7"/>
        <v>No</v>
      </c>
    </row>
    <row r="293" spans="3:11" x14ac:dyDescent="0.3">
      <c r="C293">
        <v>269</v>
      </c>
      <c r="D293">
        <v>3013.97</v>
      </c>
      <c r="E293" t="s">
        <v>650</v>
      </c>
      <c r="F293">
        <v>2953.67</v>
      </c>
      <c r="G293" t="s">
        <v>650</v>
      </c>
      <c r="H293">
        <v>4785.71</v>
      </c>
      <c r="I293" t="s">
        <v>650</v>
      </c>
      <c r="K293" t="str">
        <f t="shared" si="7"/>
        <v>No</v>
      </c>
    </row>
    <row r="294" spans="3:11" x14ac:dyDescent="0.3">
      <c r="C294">
        <v>270</v>
      </c>
      <c r="D294">
        <v>4032.36</v>
      </c>
      <c r="E294" t="s">
        <v>650</v>
      </c>
      <c r="F294">
        <v>3304.68</v>
      </c>
      <c r="G294" t="s">
        <v>650</v>
      </c>
      <c r="H294">
        <v>3247.77</v>
      </c>
      <c r="I294" t="s">
        <v>650</v>
      </c>
      <c r="K294" t="str">
        <f t="shared" si="7"/>
        <v>No</v>
      </c>
    </row>
    <row r="295" spans="3:11" x14ac:dyDescent="0.3">
      <c r="C295">
        <v>271</v>
      </c>
      <c r="D295">
        <v>2715.53</v>
      </c>
      <c r="E295" t="s">
        <v>650</v>
      </c>
      <c r="F295">
        <v>3976.65</v>
      </c>
      <c r="G295" t="s">
        <v>650</v>
      </c>
      <c r="H295">
        <v>2716.5</v>
      </c>
      <c r="I295" t="s">
        <v>650</v>
      </c>
      <c r="K295" t="str">
        <f t="shared" si="7"/>
        <v>No</v>
      </c>
    </row>
    <row r="296" spans="3:11" x14ac:dyDescent="0.3">
      <c r="C296">
        <v>272</v>
      </c>
      <c r="D296">
        <v>2705.42</v>
      </c>
      <c r="E296" t="s">
        <v>650</v>
      </c>
      <c r="F296">
        <v>3997.9</v>
      </c>
      <c r="G296" t="s">
        <v>650</v>
      </c>
      <c r="H296">
        <v>3523.5</v>
      </c>
      <c r="I296" t="s">
        <v>650</v>
      </c>
      <c r="K296" t="str">
        <f t="shared" si="7"/>
        <v>No</v>
      </c>
    </row>
    <row r="297" spans="3:11" x14ac:dyDescent="0.3">
      <c r="C297">
        <v>273</v>
      </c>
      <c r="D297">
        <v>2999.66</v>
      </c>
      <c r="E297" t="s">
        <v>650</v>
      </c>
      <c r="F297">
        <v>3101.75</v>
      </c>
      <c r="G297" t="s">
        <v>650</v>
      </c>
      <c r="H297">
        <v>3307.48</v>
      </c>
      <c r="I297" t="s">
        <v>650</v>
      </c>
      <c r="K297" t="str">
        <f t="shared" si="7"/>
        <v>No</v>
      </c>
    </row>
    <row r="298" spans="3:11" x14ac:dyDescent="0.3">
      <c r="C298">
        <v>274</v>
      </c>
      <c r="D298">
        <v>3446.07</v>
      </c>
      <c r="E298" t="s">
        <v>650</v>
      </c>
      <c r="F298">
        <v>2450.5100000000002</v>
      </c>
      <c r="G298" t="s">
        <v>650</v>
      </c>
      <c r="H298">
        <v>3608.08</v>
      </c>
      <c r="I298" t="s">
        <v>650</v>
      </c>
      <c r="K298" t="str">
        <f t="shared" si="7"/>
        <v>No</v>
      </c>
    </row>
    <row r="299" spans="3:11" x14ac:dyDescent="0.3">
      <c r="C299">
        <v>275</v>
      </c>
      <c r="D299">
        <v>1702.86</v>
      </c>
      <c r="E299" t="s">
        <v>650</v>
      </c>
      <c r="F299">
        <v>2823.3</v>
      </c>
      <c r="G299" t="s">
        <v>650</v>
      </c>
      <c r="H299">
        <v>3755.08</v>
      </c>
      <c r="I299" t="s">
        <v>650</v>
      </c>
      <c r="K299" t="str">
        <f t="shared" si="7"/>
        <v>No</v>
      </c>
    </row>
    <row r="300" spans="3:11" x14ac:dyDescent="0.3">
      <c r="C300">
        <v>276</v>
      </c>
      <c r="D300">
        <v>2826.44</v>
      </c>
      <c r="E300" t="s">
        <v>650</v>
      </c>
      <c r="F300">
        <v>3659.27</v>
      </c>
      <c r="G300" t="s">
        <v>650</v>
      </c>
      <c r="H300">
        <v>3563.63</v>
      </c>
      <c r="I300" t="s">
        <v>650</v>
      </c>
      <c r="K300" t="str">
        <f t="shared" si="7"/>
        <v>No</v>
      </c>
    </row>
    <row r="301" spans="3:11" x14ac:dyDescent="0.3">
      <c r="C301">
        <v>277</v>
      </c>
      <c r="D301">
        <v>2733.16</v>
      </c>
      <c r="E301" t="s">
        <v>650</v>
      </c>
      <c r="F301">
        <v>1256.06</v>
      </c>
      <c r="G301" t="s">
        <v>650</v>
      </c>
      <c r="H301">
        <v>4012.2</v>
      </c>
      <c r="I301" t="s">
        <v>650</v>
      </c>
      <c r="K301" t="str">
        <f t="shared" si="7"/>
        <v>No</v>
      </c>
    </row>
    <row r="302" spans="3:11" x14ac:dyDescent="0.3">
      <c r="C302">
        <v>278</v>
      </c>
      <c r="D302">
        <v>3535.76</v>
      </c>
      <c r="E302" t="s">
        <v>650</v>
      </c>
      <c r="F302">
        <v>3338.9</v>
      </c>
      <c r="G302" t="s">
        <v>650</v>
      </c>
      <c r="H302">
        <v>2926.18</v>
      </c>
      <c r="I302" t="s">
        <v>650</v>
      </c>
      <c r="K302" t="str">
        <f t="shared" si="7"/>
        <v>No</v>
      </c>
    </row>
    <row r="303" spans="3:11" x14ac:dyDescent="0.3">
      <c r="C303">
        <v>279</v>
      </c>
      <c r="D303">
        <v>4020.76</v>
      </c>
      <c r="E303" t="s">
        <v>650</v>
      </c>
      <c r="F303">
        <v>2294.87</v>
      </c>
      <c r="G303" t="s">
        <v>650</v>
      </c>
      <c r="H303">
        <v>1843.41</v>
      </c>
      <c r="I303" t="s">
        <v>650</v>
      </c>
      <c r="K303" t="str">
        <f t="shared" si="7"/>
        <v>No</v>
      </c>
    </row>
    <row r="304" spans="3:11" x14ac:dyDescent="0.3">
      <c r="C304">
        <v>280</v>
      </c>
      <c r="D304">
        <v>2708.74</v>
      </c>
      <c r="E304" t="s">
        <v>650</v>
      </c>
      <c r="F304">
        <v>3106.7</v>
      </c>
      <c r="G304" t="s">
        <v>650</v>
      </c>
      <c r="H304">
        <v>2883.19</v>
      </c>
      <c r="I304" t="s">
        <v>650</v>
      </c>
      <c r="K304" t="str">
        <f t="shared" si="7"/>
        <v>No</v>
      </c>
    </row>
    <row r="305" spans="3:11" x14ac:dyDescent="0.3">
      <c r="C305">
        <v>281</v>
      </c>
      <c r="D305">
        <v>2755.01</v>
      </c>
      <c r="E305" t="s">
        <v>650</v>
      </c>
      <c r="F305">
        <v>2204.88</v>
      </c>
      <c r="G305" t="s">
        <v>650</v>
      </c>
      <c r="H305">
        <v>2388.67</v>
      </c>
      <c r="I305" t="s">
        <v>650</v>
      </c>
      <c r="K305" t="str">
        <f t="shared" si="7"/>
        <v>No</v>
      </c>
    </row>
    <row r="306" spans="3:11" x14ac:dyDescent="0.3">
      <c r="C306">
        <v>282</v>
      </c>
      <c r="D306">
        <v>1947.26</v>
      </c>
      <c r="E306" t="s">
        <v>650</v>
      </c>
      <c r="F306">
        <v>3559.17</v>
      </c>
      <c r="G306" t="s">
        <v>650</v>
      </c>
      <c r="H306">
        <v>3038.98</v>
      </c>
      <c r="I306" t="s">
        <v>650</v>
      </c>
      <c r="K306" t="str">
        <f t="shared" si="7"/>
        <v>No</v>
      </c>
    </row>
    <row r="307" spans="3:11" x14ac:dyDescent="0.3">
      <c r="C307">
        <v>283</v>
      </c>
      <c r="D307">
        <v>2821.8</v>
      </c>
      <c r="E307" t="s">
        <v>650</v>
      </c>
      <c r="F307">
        <v>1859.17</v>
      </c>
      <c r="G307" t="s">
        <v>650</v>
      </c>
      <c r="H307">
        <v>2354.0700000000002</v>
      </c>
      <c r="I307" t="s">
        <v>650</v>
      </c>
      <c r="K307" t="str">
        <f t="shared" si="7"/>
        <v>No</v>
      </c>
    </row>
    <row r="308" spans="3:11" x14ac:dyDescent="0.3">
      <c r="C308">
        <v>284</v>
      </c>
      <c r="D308">
        <v>2245.9899999999998</v>
      </c>
      <c r="E308" t="s">
        <v>650</v>
      </c>
      <c r="F308">
        <v>2877.16</v>
      </c>
      <c r="G308" t="s">
        <v>650</v>
      </c>
      <c r="H308">
        <v>3943.46</v>
      </c>
      <c r="I308" t="s">
        <v>650</v>
      </c>
      <c r="K308" t="str">
        <f t="shared" si="7"/>
        <v>No</v>
      </c>
    </row>
    <row r="309" spans="3:11" x14ac:dyDescent="0.3">
      <c r="C309">
        <v>285</v>
      </c>
      <c r="D309">
        <v>3211.65</v>
      </c>
      <c r="E309" t="s">
        <v>650</v>
      </c>
      <c r="F309">
        <v>3932.01</v>
      </c>
      <c r="G309" t="s">
        <v>650</v>
      </c>
      <c r="H309">
        <v>3151.78</v>
      </c>
      <c r="I309" t="s">
        <v>650</v>
      </c>
      <c r="K309" t="str">
        <f t="shared" si="7"/>
        <v>No</v>
      </c>
    </row>
    <row r="310" spans="3:11" x14ac:dyDescent="0.3">
      <c r="C310">
        <v>286</v>
      </c>
      <c r="D310">
        <v>2152.63</v>
      </c>
      <c r="E310" t="s">
        <v>650</v>
      </c>
      <c r="F310">
        <v>4158.07</v>
      </c>
      <c r="G310" t="s">
        <v>650</v>
      </c>
      <c r="H310">
        <v>3727.42</v>
      </c>
      <c r="I310" t="s">
        <v>650</v>
      </c>
      <c r="K310" t="str">
        <f t="shared" si="7"/>
        <v>No</v>
      </c>
    </row>
    <row r="311" spans="3:11" x14ac:dyDescent="0.3">
      <c r="C311">
        <v>287</v>
      </c>
      <c r="D311">
        <v>2569.09</v>
      </c>
      <c r="E311" t="s">
        <v>650</v>
      </c>
      <c r="F311">
        <v>2599.2199999999998</v>
      </c>
      <c r="G311" t="s">
        <v>650</v>
      </c>
      <c r="H311">
        <v>3312.94</v>
      </c>
      <c r="I311" t="s">
        <v>650</v>
      </c>
      <c r="K311" t="str">
        <f t="shared" si="7"/>
        <v>No</v>
      </c>
    </row>
    <row r="312" spans="3:11" x14ac:dyDescent="0.3">
      <c r="C312">
        <v>288</v>
      </c>
      <c r="D312">
        <v>3794.38</v>
      </c>
      <c r="E312" t="s">
        <v>650</v>
      </c>
      <c r="F312">
        <v>3495.02</v>
      </c>
      <c r="G312" t="s">
        <v>650</v>
      </c>
      <c r="H312">
        <v>4185.93</v>
      </c>
      <c r="I312" t="s">
        <v>650</v>
      </c>
      <c r="K312" t="str">
        <f t="shared" si="7"/>
        <v>No</v>
      </c>
    </row>
    <row r="313" spans="3:11" x14ac:dyDescent="0.3">
      <c r="C313">
        <v>289</v>
      </c>
      <c r="D313">
        <v>2296.44</v>
      </c>
      <c r="E313" t="s">
        <v>650</v>
      </c>
      <c r="F313">
        <v>3289.87</v>
      </c>
      <c r="G313" t="s">
        <v>650</v>
      </c>
      <c r="H313">
        <v>3024.06</v>
      </c>
      <c r="I313" t="s">
        <v>650</v>
      </c>
      <c r="K313" t="str">
        <f t="shared" si="7"/>
        <v>No</v>
      </c>
    </row>
    <row r="314" spans="3:11" x14ac:dyDescent="0.3">
      <c r="C314">
        <v>290</v>
      </c>
      <c r="D314">
        <v>2570.4499999999998</v>
      </c>
      <c r="E314" t="s">
        <v>650</v>
      </c>
      <c r="F314">
        <v>3177.97</v>
      </c>
      <c r="G314" t="s">
        <v>650</v>
      </c>
      <c r="H314">
        <v>2474.9899999999998</v>
      </c>
      <c r="I314" t="s">
        <v>650</v>
      </c>
      <c r="K314" t="str">
        <f t="shared" si="7"/>
        <v>No</v>
      </c>
    </row>
    <row r="315" spans="3:11" x14ac:dyDescent="0.3">
      <c r="C315">
        <v>291</v>
      </c>
      <c r="D315">
        <v>2944.76</v>
      </c>
      <c r="E315" t="s">
        <v>650</v>
      </c>
      <c r="F315">
        <v>1981.07</v>
      </c>
      <c r="G315" t="s">
        <v>650</v>
      </c>
      <c r="H315">
        <v>2430.69</v>
      </c>
      <c r="I315" t="s">
        <v>650</v>
      </c>
      <c r="K315" t="str">
        <f t="shared" si="7"/>
        <v>No</v>
      </c>
    </row>
    <row r="316" spans="3:11" x14ac:dyDescent="0.3">
      <c r="C316">
        <v>292</v>
      </c>
      <c r="D316">
        <v>1984.86</v>
      </c>
      <c r="E316" t="s">
        <v>650</v>
      </c>
      <c r="F316">
        <v>2735.26</v>
      </c>
      <c r="G316" t="s">
        <v>650</v>
      </c>
      <c r="H316">
        <v>2418.31</v>
      </c>
      <c r="I316" t="s">
        <v>650</v>
      </c>
      <c r="K316" t="str">
        <f t="shared" si="7"/>
        <v>No</v>
      </c>
    </row>
    <row r="317" spans="3:11" x14ac:dyDescent="0.3">
      <c r="C317">
        <v>293</v>
      </c>
      <c r="D317">
        <v>2719.59</v>
      </c>
      <c r="E317" t="s">
        <v>650</v>
      </c>
      <c r="F317">
        <v>3010.34</v>
      </c>
      <c r="G317" t="s">
        <v>650</v>
      </c>
      <c r="H317">
        <v>2704.69</v>
      </c>
      <c r="I317" t="s">
        <v>650</v>
      </c>
      <c r="K317" t="str">
        <f t="shared" si="7"/>
        <v>No</v>
      </c>
    </row>
    <row r="318" spans="3:11" x14ac:dyDescent="0.3">
      <c r="C318">
        <v>294</v>
      </c>
      <c r="D318">
        <v>3180.17</v>
      </c>
      <c r="E318" t="s">
        <v>650</v>
      </c>
      <c r="F318">
        <v>3581.29</v>
      </c>
      <c r="G318" t="s">
        <v>650</v>
      </c>
      <c r="H318">
        <v>4296.99</v>
      </c>
      <c r="I318" t="s">
        <v>650</v>
      </c>
      <c r="K318" t="str">
        <f t="shared" si="7"/>
        <v>No</v>
      </c>
    </row>
    <row r="319" spans="3:11" x14ac:dyDescent="0.3">
      <c r="C319">
        <v>295</v>
      </c>
      <c r="D319">
        <v>3122.58</v>
      </c>
      <c r="E319" t="s">
        <v>650</v>
      </c>
      <c r="F319">
        <v>4470.0600000000004</v>
      </c>
      <c r="G319" t="s">
        <v>650</v>
      </c>
      <c r="H319">
        <v>3887.2</v>
      </c>
      <c r="I319" t="s">
        <v>650</v>
      </c>
      <c r="K319" t="str">
        <f t="shared" si="7"/>
        <v>No</v>
      </c>
    </row>
    <row r="320" spans="3:11" x14ac:dyDescent="0.3">
      <c r="C320">
        <v>296</v>
      </c>
      <c r="D320">
        <v>3403.22</v>
      </c>
      <c r="E320" t="s">
        <v>650</v>
      </c>
      <c r="F320">
        <v>3199.71</v>
      </c>
      <c r="G320" t="s">
        <v>650</v>
      </c>
      <c r="H320">
        <v>3244.49</v>
      </c>
      <c r="I320" t="s">
        <v>650</v>
      </c>
      <c r="K320" t="str">
        <f t="shared" si="7"/>
        <v>No</v>
      </c>
    </row>
    <row r="321" spans="3:11" x14ac:dyDescent="0.3">
      <c r="C321">
        <v>297</v>
      </c>
      <c r="D321">
        <v>2984.44</v>
      </c>
      <c r="E321" t="s">
        <v>650</v>
      </c>
      <c r="F321">
        <v>3071.31</v>
      </c>
      <c r="G321" t="s">
        <v>650</v>
      </c>
      <c r="H321">
        <v>1711.2</v>
      </c>
      <c r="I321" t="s">
        <v>650</v>
      </c>
      <c r="K321" t="str">
        <f t="shared" si="7"/>
        <v>No</v>
      </c>
    </row>
    <row r="322" spans="3:11" x14ac:dyDescent="0.3">
      <c r="C322">
        <v>298</v>
      </c>
      <c r="D322">
        <v>3850.3</v>
      </c>
      <c r="E322" t="s">
        <v>650</v>
      </c>
      <c r="F322">
        <v>3216.23</v>
      </c>
      <c r="G322" t="s">
        <v>650</v>
      </c>
      <c r="H322">
        <v>3941.74</v>
      </c>
      <c r="I322" t="s">
        <v>650</v>
      </c>
      <c r="K322" t="str">
        <f t="shared" si="7"/>
        <v>No</v>
      </c>
    </row>
    <row r="323" spans="3:11" x14ac:dyDescent="0.3">
      <c r="C323">
        <v>299</v>
      </c>
      <c r="D323">
        <v>2899.47</v>
      </c>
      <c r="E323" t="s">
        <v>650</v>
      </c>
      <c r="F323">
        <v>3714.81</v>
      </c>
      <c r="G323" t="s">
        <v>650</v>
      </c>
      <c r="H323">
        <v>2269.29</v>
      </c>
      <c r="I323" t="s">
        <v>650</v>
      </c>
      <c r="K323" t="str">
        <f t="shared" si="7"/>
        <v>No</v>
      </c>
    </row>
    <row r="324" spans="3:11" x14ac:dyDescent="0.3">
      <c r="C324">
        <v>300</v>
      </c>
      <c r="D324">
        <v>2513.6999999999998</v>
      </c>
      <c r="E324" t="s">
        <v>650</v>
      </c>
      <c r="F324">
        <v>2925.31</v>
      </c>
      <c r="G324" t="s">
        <v>650</v>
      </c>
      <c r="H324">
        <v>3255.72</v>
      </c>
      <c r="I324" t="s">
        <v>650</v>
      </c>
      <c r="K324" t="str">
        <f t="shared" si="7"/>
        <v>No</v>
      </c>
    </row>
    <row r="325" spans="3:11" x14ac:dyDescent="0.3">
      <c r="C325">
        <v>301</v>
      </c>
      <c r="D325">
        <v>2903.34</v>
      </c>
      <c r="E325" t="s">
        <v>650</v>
      </c>
      <c r="F325">
        <v>4202.63</v>
      </c>
      <c r="G325" t="s">
        <v>650</v>
      </c>
      <c r="H325">
        <v>1667.47</v>
      </c>
      <c r="I325" t="s">
        <v>650</v>
      </c>
      <c r="K325" t="str">
        <f t="shared" si="7"/>
        <v>No</v>
      </c>
    </row>
    <row r="326" spans="3:11" x14ac:dyDescent="0.3">
      <c r="C326">
        <v>302</v>
      </c>
      <c r="D326">
        <v>2011.61</v>
      </c>
      <c r="E326" t="s">
        <v>650</v>
      </c>
      <c r="F326">
        <v>3683.64</v>
      </c>
      <c r="G326" t="s">
        <v>650</v>
      </c>
      <c r="H326">
        <v>3815.15</v>
      </c>
      <c r="I326" t="s">
        <v>650</v>
      </c>
      <c r="K326" t="str">
        <f t="shared" si="7"/>
        <v>No</v>
      </c>
    </row>
    <row r="327" spans="3:11" x14ac:dyDescent="0.3">
      <c r="C327">
        <v>303</v>
      </c>
      <c r="D327">
        <v>2821.1</v>
      </c>
      <c r="E327" t="s">
        <v>650</v>
      </c>
      <c r="F327">
        <v>3062.96</v>
      </c>
      <c r="G327" t="s">
        <v>650</v>
      </c>
      <c r="H327">
        <v>1949.27</v>
      </c>
      <c r="I327" t="s">
        <v>650</v>
      </c>
      <c r="K327" t="str">
        <f t="shared" si="7"/>
        <v>No</v>
      </c>
    </row>
    <row r="328" spans="3:11" x14ac:dyDescent="0.3">
      <c r="C328">
        <v>304</v>
      </c>
      <c r="D328">
        <v>3486.14</v>
      </c>
      <c r="E328" t="s">
        <v>650</v>
      </c>
      <c r="F328">
        <v>2303.17</v>
      </c>
      <c r="G328" t="s">
        <v>650</v>
      </c>
      <c r="H328">
        <v>2757.41</v>
      </c>
      <c r="I328" t="s">
        <v>650</v>
      </c>
      <c r="K328" t="str">
        <f t="shared" si="7"/>
        <v>No</v>
      </c>
    </row>
    <row r="329" spans="3:11" x14ac:dyDescent="0.3">
      <c r="C329">
        <v>305</v>
      </c>
      <c r="D329">
        <v>2901.17</v>
      </c>
      <c r="E329" t="s">
        <v>650</v>
      </c>
      <c r="F329">
        <v>3428.99</v>
      </c>
      <c r="G329" t="s">
        <v>650</v>
      </c>
      <c r="H329">
        <v>5208.5</v>
      </c>
      <c r="I329" t="s">
        <v>650</v>
      </c>
      <c r="K329" t="str">
        <f t="shared" si="7"/>
        <v>No</v>
      </c>
    </row>
    <row r="330" spans="3:11" x14ac:dyDescent="0.3">
      <c r="C330">
        <v>306</v>
      </c>
      <c r="D330">
        <v>2556.9699999999998</v>
      </c>
      <c r="E330" t="s">
        <v>650</v>
      </c>
      <c r="F330">
        <v>3258.62</v>
      </c>
      <c r="G330" t="s">
        <v>650</v>
      </c>
      <c r="H330">
        <v>3500.04</v>
      </c>
      <c r="I330" t="s">
        <v>650</v>
      </c>
      <c r="K330" t="str">
        <f t="shared" si="7"/>
        <v>No</v>
      </c>
    </row>
    <row r="331" spans="3:11" x14ac:dyDescent="0.3">
      <c r="C331">
        <v>307</v>
      </c>
      <c r="D331">
        <v>1974.94</v>
      </c>
      <c r="E331" t="s">
        <v>650</v>
      </c>
      <c r="F331">
        <v>2561.21</v>
      </c>
      <c r="G331" t="s">
        <v>650</v>
      </c>
      <c r="H331">
        <v>2640.46</v>
      </c>
      <c r="I331" t="s">
        <v>650</v>
      </c>
      <c r="K331" t="str">
        <f t="shared" si="7"/>
        <v>No</v>
      </c>
    </row>
    <row r="332" spans="3:11" x14ac:dyDescent="0.3">
      <c r="C332">
        <v>308</v>
      </c>
      <c r="D332">
        <v>2714.77</v>
      </c>
      <c r="E332" t="s">
        <v>650</v>
      </c>
      <c r="F332">
        <v>2895.62</v>
      </c>
      <c r="G332" t="s">
        <v>650</v>
      </c>
      <c r="H332">
        <v>3323.98</v>
      </c>
      <c r="I332" t="s">
        <v>650</v>
      </c>
      <c r="K332" t="str">
        <f t="shared" si="7"/>
        <v>No</v>
      </c>
    </row>
    <row r="333" spans="3:11" x14ac:dyDescent="0.3">
      <c r="C333">
        <v>309</v>
      </c>
      <c r="D333">
        <v>3910.42</v>
      </c>
      <c r="E333" t="s">
        <v>650</v>
      </c>
      <c r="F333">
        <v>4429.3100000000004</v>
      </c>
      <c r="G333" t="s">
        <v>650</v>
      </c>
      <c r="H333">
        <v>3320.72</v>
      </c>
      <c r="I333" t="s">
        <v>650</v>
      </c>
      <c r="K333" t="str">
        <f t="shared" si="7"/>
        <v>No</v>
      </c>
    </row>
    <row r="334" spans="3:11" x14ac:dyDescent="0.3">
      <c r="C334">
        <v>310</v>
      </c>
      <c r="D334">
        <v>2939.38</v>
      </c>
      <c r="E334" t="s">
        <v>650</v>
      </c>
      <c r="F334">
        <v>3308.68</v>
      </c>
      <c r="G334" t="s">
        <v>650</v>
      </c>
      <c r="H334">
        <v>3258.93</v>
      </c>
      <c r="I334" t="s">
        <v>650</v>
      </c>
      <c r="K334" t="str">
        <f t="shared" si="7"/>
        <v>No</v>
      </c>
    </row>
    <row r="335" spans="3:11" x14ac:dyDescent="0.3">
      <c r="C335">
        <v>311</v>
      </c>
      <c r="D335">
        <v>3560.57</v>
      </c>
      <c r="E335" t="s">
        <v>650</v>
      </c>
      <c r="F335">
        <v>3649.75</v>
      </c>
      <c r="G335" t="s">
        <v>650</v>
      </c>
      <c r="H335">
        <v>3435.41</v>
      </c>
      <c r="I335" t="s">
        <v>650</v>
      </c>
      <c r="K335" t="str">
        <f t="shared" si="7"/>
        <v>No</v>
      </c>
    </row>
    <row r="336" spans="3:11" x14ac:dyDescent="0.3">
      <c r="C336">
        <v>312</v>
      </c>
      <c r="D336">
        <v>2831.64</v>
      </c>
      <c r="E336" t="s">
        <v>650</v>
      </c>
      <c r="F336">
        <v>4116.46</v>
      </c>
      <c r="G336" t="s">
        <v>650</v>
      </c>
      <c r="H336">
        <v>4364.6899999999996</v>
      </c>
      <c r="I336" t="s">
        <v>650</v>
      </c>
      <c r="K336" t="str">
        <f t="shared" si="7"/>
        <v>No</v>
      </c>
    </row>
    <row r="337" spans="3:11" x14ac:dyDescent="0.3">
      <c r="C337">
        <v>313</v>
      </c>
      <c r="D337">
        <v>1747.34</v>
      </c>
      <c r="E337" t="s">
        <v>650</v>
      </c>
      <c r="F337">
        <v>4333.12</v>
      </c>
      <c r="G337" t="s">
        <v>650</v>
      </c>
      <c r="H337">
        <v>2810.75</v>
      </c>
      <c r="I337" t="s">
        <v>650</v>
      </c>
      <c r="K337" t="str">
        <f t="shared" si="7"/>
        <v>No</v>
      </c>
    </row>
    <row r="338" spans="3:11" x14ac:dyDescent="0.3">
      <c r="C338">
        <v>314</v>
      </c>
      <c r="D338">
        <v>2284.67</v>
      </c>
      <c r="E338" t="s">
        <v>650</v>
      </c>
      <c r="F338">
        <v>2231.77</v>
      </c>
      <c r="G338" t="s">
        <v>650</v>
      </c>
      <c r="H338">
        <v>4297.5600000000004</v>
      </c>
      <c r="I338" t="s">
        <v>650</v>
      </c>
      <c r="K338" t="str">
        <f t="shared" si="7"/>
        <v>No</v>
      </c>
    </row>
    <row r="339" spans="3:11" x14ac:dyDescent="0.3">
      <c r="C339">
        <v>315</v>
      </c>
      <c r="D339">
        <v>2463.12</v>
      </c>
      <c r="E339" t="s">
        <v>650</v>
      </c>
      <c r="F339">
        <v>4033.84</v>
      </c>
      <c r="G339" t="s">
        <v>650</v>
      </c>
      <c r="H339">
        <v>3314.48</v>
      </c>
      <c r="I339" t="s">
        <v>650</v>
      </c>
      <c r="K339" t="str">
        <f t="shared" si="7"/>
        <v>No</v>
      </c>
    </row>
    <row r="340" spans="3:11" x14ac:dyDescent="0.3">
      <c r="C340">
        <v>316</v>
      </c>
      <c r="D340">
        <v>3350.38</v>
      </c>
      <c r="E340" t="s">
        <v>650</v>
      </c>
      <c r="F340">
        <v>3563.3</v>
      </c>
      <c r="G340" t="s">
        <v>650</v>
      </c>
      <c r="H340">
        <v>2639.71</v>
      </c>
      <c r="I340" t="s">
        <v>650</v>
      </c>
      <c r="K340" t="str">
        <f t="shared" si="7"/>
        <v>No</v>
      </c>
    </row>
    <row r="341" spans="3:11" x14ac:dyDescent="0.3">
      <c r="C341">
        <v>317</v>
      </c>
      <c r="D341">
        <v>3687.2</v>
      </c>
      <c r="E341" t="s">
        <v>650</v>
      </c>
      <c r="F341">
        <v>3729.98</v>
      </c>
      <c r="G341" t="s">
        <v>650</v>
      </c>
      <c r="H341">
        <v>1205.3</v>
      </c>
      <c r="I341" t="s">
        <v>650</v>
      </c>
      <c r="K341" t="str">
        <f t="shared" si="7"/>
        <v>No</v>
      </c>
    </row>
    <row r="342" spans="3:11" x14ac:dyDescent="0.3">
      <c r="C342">
        <v>318</v>
      </c>
      <c r="D342">
        <v>3349.1</v>
      </c>
      <c r="E342" t="s">
        <v>650</v>
      </c>
      <c r="F342">
        <v>5742.28</v>
      </c>
      <c r="G342" t="s">
        <v>650</v>
      </c>
      <c r="H342">
        <v>2302.8000000000002</v>
      </c>
      <c r="I342" t="s">
        <v>650</v>
      </c>
      <c r="K342" t="str">
        <f t="shared" si="7"/>
        <v>No</v>
      </c>
    </row>
    <row r="343" spans="3:11" x14ac:dyDescent="0.3">
      <c r="C343">
        <v>319</v>
      </c>
      <c r="D343">
        <v>2675.39</v>
      </c>
      <c r="E343" t="s">
        <v>650</v>
      </c>
      <c r="F343">
        <v>3057.54</v>
      </c>
      <c r="G343" t="s">
        <v>650</v>
      </c>
      <c r="H343">
        <v>2535.27</v>
      </c>
      <c r="I343" t="s">
        <v>650</v>
      </c>
      <c r="K343" t="str">
        <f t="shared" si="7"/>
        <v>No</v>
      </c>
    </row>
    <row r="344" spans="3:11" x14ac:dyDescent="0.3">
      <c r="C344">
        <v>320</v>
      </c>
      <c r="D344">
        <v>2918.19</v>
      </c>
      <c r="E344" t="s">
        <v>650</v>
      </c>
      <c r="F344">
        <v>3259.95</v>
      </c>
      <c r="G344" t="s">
        <v>650</v>
      </c>
      <c r="H344">
        <v>4452.5600000000004</v>
      </c>
      <c r="I344" t="s">
        <v>650</v>
      </c>
      <c r="K344" t="str">
        <f t="shared" si="7"/>
        <v>No</v>
      </c>
    </row>
    <row r="345" spans="3:11" x14ac:dyDescent="0.3">
      <c r="C345">
        <v>321</v>
      </c>
      <c r="D345">
        <v>3698</v>
      </c>
      <c r="E345" t="s">
        <v>650</v>
      </c>
      <c r="F345">
        <v>3546.06</v>
      </c>
      <c r="G345" t="s">
        <v>650</v>
      </c>
      <c r="H345">
        <v>2913.69</v>
      </c>
      <c r="I345" t="s">
        <v>650</v>
      </c>
      <c r="K345" t="str">
        <f t="shared" ref="K345:K408" si="8">IF(AND(E345="No",G345="No",I345="No"),"No","Yes")</f>
        <v>No</v>
      </c>
    </row>
    <row r="346" spans="3:11" x14ac:dyDescent="0.3">
      <c r="C346">
        <v>322</v>
      </c>
      <c r="D346">
        <v>2088.06</v>
      </c>
      <c r="E346" t="s">
        <v>650</v>
      </c>
      <c r="F346">
        <v>3458.14</v>
      </c>
      <c r="G346" t="s">
        <v>650</v>
      </c>
      <c r="H346">
        <v>3437.93</v>
      </c>
      <c r="I346" t="s">
        <v>650</v>
      </c>
      <c r="K346" t="str">
        <f t="shared" si="8"/>
        <v>No</v>
      </c>
    </row>
    <row r="347" spans="3:11" x14ac:dyDescent="0.3">
      <c r="C347">
        <v>323</v>
      </c>
      <c r="D347">
        <v>3276.15</v>
      </c>
      <c r="E347" t="s">
        <v>650</v>
      </c>
      <c r="F347">
        <v>2753.04</v>
      </c>
      <c r="G347" t="s">
        <v>650</v>
      </c>
      <c r="H347">
        <v>2931.16</v>
      </c>
      <c r="I347" t="s">
        <v>650</v>
      </c>
      <c r="K347" t="str">
        <f t="shared" si="8"/>
        <v>No</v>
      </c>
    </row>
    <row r="348" spans="3:11" x14ac:dyDescent="0.3">
      <c r="C348">
        <v>324</v>
      </c>
      <c r="D348">
        <v>3290.62</v>
      </c>
      <c r="E348" t="s">
        <v>650</v>
      </c>
      <c r="F348">
        <v>2585.41</v>
      </c>
      <c r="G348" t="s">
        <v>650</v>
      </c>
      <c r="H348">
        <v>2530.88</v>
      </c>
      <c r="I348" t="s">
        <v>650</v>
      </c>
      <c r="K348" t="str">
        <f t="shared" si="8"/>
        <v>No</v>
      </c>
    </row>
    <row r="349" spans="3:11" x14ac:dyDescent="0.3">
      <c r="C349">
        <v>325</v>
      </c>
      <c r="D349">
        <v>3136.9</v>
      </c>
      <c r="E349" t="s">
        <v>650</v>
      </c>
      <c r="F349">
        <v>4316.8999999999996</v>
      </c>
      <c r="G349" t="s">
        <v>650</v>
      </c>
      <c r="H349">
        <v>3741.95</v>
      </c>
      <c r="I349" t="s">
        <v>650</v>
      </c>
      <c r="K349" t="str">
        <f t="shared" si="8"/>
        <v>No</v>
      </c>
    </row>
    <row r="350" spans="3:11" x14ac:dyDescent="0.3">
      <c r="C350">
        <v>326</v>
      </c>
      <c r="D350">
        <v>2173.98</v>
      </c>
      <c r="E350" t="s">
        <v>650</v>
      </c>
      <c r="F350">
        <v>2450.77</v>
      </c>
      <c r="G350" t="s">
        <v>650</v>
      </c>
      <c r="H350">
        <v>3743.78</v>
      </c>
      <c r="I350" t="s">
        <v>650</v>
      </c>
      <c r="K350" t="str">
        <f t="shared" si="8"/>
        <v>No</v>
      </c>
    </row>
    <row r="351" spans="3:11" x14ac:dyDescent="0.3">
      <c r="C351">
        <v>327</v>
      </c>
      <c r="D351">
        <v>2547.02</v>
      </c>
      <c r="E351" t="s">
        <v>650</v>
      </c>
      <c r="F351">
        <v>2793.47</v>
      </c>
      <c r="G351" t="s">
        <v>650</v>
      </c>
      <c r="H351">
        <v>4443.7</v>
      </c>
      <c r="I351" t="s">
        <v>650</v>
      </c>
      <c r="K351" t="str">
        <f t="shared" si="8"/>
        <v>No</v>
      </c>
    </row>
    <row r="352" spans="3:11" x14ac:dyDescent="0.3">
      <c r="C352">
        <v>328</v>
      </c>
      <c r="D352">
        <v>3371.84</v>
      </c>
      <c r="E352" t="s">
        <v>650</v>
      </c>
      <c r="F352">
        <v>2537.29</v>
      </c>
      <c r="G352" t="s">
        <v>650</v>
      </c>
      <c r="H352">
        <v>1836.85</v>
      </c>
      <c r="I352" t="s">
        <v>650</v>
      </c>
      <c r="K352" t="str">
        <f t="shared" si="8"/>
        <v>No</v>
      </c>
    </row>
    <row r="353" spans="3:11" x14ac:dyDescent="0.3">
      <c r="C353">
        <v>329</v>
      </c>
      <c r="D353">
        <v>3786.67</v>
      </c>
      <c r="E353" t="s">
        <v>650</v>
      </c>
      <c r="F353">
        <v>3823.05</v>
      </c>
      <c r="G353" t="s">
        <v>650</v>
      </c>
      <c r="H353">
        <v>2823.7</v>
      </c>
      <c r="I353" t="s">
        <v>650</v>
      </c>
      <c r="K353" t="str">
        <f t="shared" si="8"/>
        <v>No</v>
      </c>
    </row>
    <row r="354" spans="3:11" x14ac:dyDescent="0.3">
      <c r="C354">
        <v>330</v>
      </c>
      <c r="D354">
        <v>3376.03</v>
      </c>
      <c r="E354" t="s">
        <v>650</v>
      </c>
      <c r="F354">
        <v>2880.76</v>
      </c>
      <c r="G354" t="s">
        <v>650</v>
      </c>
      <c r="H354">
        <v>3090.69</v>
      </c>
      <c r="I354" t="s">
        <v>650</v>
      </c>
      <c r="K354" t="str">
        <f t="shared" si="8"/>
        <v>No</v>
      </c>
    </row>
    <row r="355" spans="3:11" x14ac:dyDescent="0.3">
      <c r="C355">
        <v>331</v>
      </c>
      <c r="D355">
        <v>1918.92</v>
      </c>
      <c r="E355" t="s">
        <v>650</v>
      </c>
      <c r="F355">
        <v>2333.17</v>
      </c>
      <c r="G355" t="s">
        <v>650</v>
      </c>
      <c r="H355">
        <v>4113.4399999999996</v>
      </c>
      <c r="I355" t="s">
        <v>650</v>
      </c>
      <c r="K355" t="str">
        <f t="shared" si="8"/>
        <v>No</v>
      </c>
    </row>
    <row r="356" spans="3:11" x14ac:dyDescent="0.3">
      <c r="C356">
        <v>332</v>
      </c>
      <c r="D356">
        <v>3601.74</v>
      </c>
      <c r="E356" t="s">
        <v>650</v>
      </c>
      <c r="F356">
        <v>2272.91</v>
      </c>
      <c r="G356" t="s">
        <v>650</v>
      </c>
      <c r="H356">
        <v>2203.4699999999998</v>
      </c>
      <c r="I356" t="s">
        <v>650</v>
      </c>
      <c r="K356" t="str">
        <f t="shared" si="8"/>
        <v>No</v>
      </c>
    </row>
    <row r="357" spans="3:11" x14ac:dyDescent="0.3">
      <c r="C357">
        <v>333</v>
      </c>
      <c r="D357">
        <v>3324.77</v>
      </c>
      <c r="E357" t="s">
        <v>650</v>
      </c>
      <c r="F357">
        <v>2445.06</v>
      </c>
      <c r="G357" t="s">
        <v>650</v>
      </c>
      <c r="H357">
        <v>3052.68</v>
      </c>
      <c r="I357" t="s">
        <v>650</v>
      </c>
      <c r="K357" t="str">
        <f t="shared" si="8"/>
        <v>No</v>
      </c>
    </row>
    <row r="358" spans="3:11" x14ac:dyDescent="0.3">
      <c r="C358">
        <v>334</v>
      </c>
      <c r="D358">
        <v>2872.14</v>
      </c>
      <c r="E358" t="s">
        <v>650</v>
      </c>
      <c r="F358">
        <v>3781.05</v>
      </c>
      <c r="G358" t="s">
        <v>650</v>
      </c>
      <c r="H358">
        <v>4936.6000000000004</v>
      </c>
      <c r="I358" t="s">
        <v>650</v>
      </c>
      <c r="K358" t="str">
        <f t="shared" si="8"/>
        <v>No</v>
      </c>
    </row>
    <row r="359" spans="3:11" x14ac:dyDescent="0.3">
      <c r="C359">
        <v>335</v>
      </c>
      <c r="D359">
        <v>3453.14</v>
      </c>
      <c r="E359" t="s">
        <v>650</v>
      </c>
      <c r="F359">
        <v>2576.3000000000002</v>
      </c>
      <c r="G359" t="s">
        <v>650</v>
      </c>
      <c r="H359">
        <v>3478.84</v>
      </c>
      <c r="I359" t="s">
        <v>650</v>
      </c>
      <c r="K359" t="str">
        <f t="shared" si="8"/>
        <v>No</v>
      </c>
    </row>
    <row r="360" spans="3:11" x14ac:dyDescent="0.3">
      <c r="C360">
        <v>336</v>
      </c>
      <c r="D360">
        <v>3997.19</v>
      </c>
      <c r="E360" t="s">
        <v>650</v>
      </c>
      <c r="F360">
        <v>2806.26</v>
      </c>
      <c r="G360" t="s">
        <v>650</v>
      </c>
      <c r="H360">
        <v>3155.11</v>
      </c>
      <c r="I360" t="s">
        <v>650</v>
      </c>
      <c r="K360" t="str">
        <f t="shared" si="8"/>
        <v>No</v>
      </c>
    </row>
    <row r="361" spans="3:11" x14ac:dyDescent="0.3">
      <c r="C361">
        <v>337</v>
      </c>
      <c r="D361">
        <v>2869.62</v>
      </c>
      <c r="E361" t="s">
        <v>650</v>
      </c>
      <c r="F361">
        <v>3216.34</v>
      </c>
      <c r="G361" t="s">
        <v>650</v>
      </c>
      <c r="H361">
        <v>4268.88</v>
      </c>
      <c r="I361" t="s">
        <v>650</v>
      </c>
      <c r="K361" t="str">
        <f t="shared" si="8"/>
        <v>No</v>
      </c>
    </row>
    <row r="362" spans="3:11" x14ac:dyDescent="0.3">
      <c r="C362">
        <v>338</v>
      </c>
      <c r="D362">
        <v>2397.16</v>
      </c>
      <c r="E362" t="s">
        <v>650</v>
      </c>
      <c r="F362">
        <v>3685.26</v>
      </c>
      <c r="G362" t="s">
        <v>650</v>
      </c>
      <c r="H362">
        <v>2711.34</v>
      </c>
      <c r="I362" t="s">
        <v>650</v>
      </c>
      <c r="K362" t="str">
        <f t="shared" si="8"/>
        <v>No</v>
      </c>
    </row>
    <row r="363" spans="3:11" x14ac:dyDescent="0.3">
      <c r="C363">
        <v>339</v>
      </c>
      <c r="D363">
        <v>3492.7</v>
      </c>
      <c r="E363" t="s">
        <v>650</v>
      </c>
      <c r="F363">
        <v>2332.09</v>
      </c>
      <c r="G363" t="s">
        <v>650</v>
      </c>
      <c r="H363">
        <v>3988.6</v>
      </c>
      <c r="I363" t="s">
        <v>650</v>
      </c>
      <c r="K363" t="str">
        <f t="shared" si="8"/>
        <v>No</v>
      </c>
    </row>
    <row r="364" spans="3:11" x14ac:dyDescent="0.3">
      <c r="C364">
        <v>340</v>
      </c>
      <c r="D364">
        <v>2117.7800000000002</v>
      </c>
      <c r="E364" t="s">
        <v>650</v>
      </c>
      <c r="F364">
        <v>3184.73</v>
      </c>
      <c r="G364" t="s">
        <v>650</v>
      </c>
      <c r="H364">
        <v>2625.36</v>
      </c>
      <c r="I364" t="s">
        <v>650</v>
      </c>
      <c r="K364" t="str">
        <f t="shared" si="8"/>
        <v>No</v>
      </c>
    </row>
    <row r="365" spans="3:11" x14ac:dyDescent="0.3">
      <c r="C365">
        <v>341</v>
      </c>
      <c r="D365">
        <v>3347.5</v>
      </c>
      <c r="E365" t="s">
        <v>650</v>
      </c>
      <c r="F365">
        <v>4305.25</v>
      </c>
      <c r="G365" t="s">
        <v>650</v>
      </c>
      <c r="H365">
        <v>3353.45</v>
      </c>
      <c r="I365" t="s">
        <v>650</v>
      </c>
      <c r="K365" t="str">
        <f t="shared" si="8"/>
        <v>No</v>
      </c>
    </row>
    <row r="366" spans="3:11" x14ac:dyDescent="0.3">
      <c r="C366">
        <v>342</v>
      </c>
      <c r="D366">
        <v>2978.2</v>
      </c>
      <c r="E366" t="s">
        <v>650</v>
      </c>
      <c r="F366">
        <v>2787.18</v>
      </c>
      <c r="G366" t="s">
        <v>650</v>
      </c>
      <c r="H366">
        <v>2974</v>
      </c>
      <c r="I366" t="s">
        <v>650</v>
      </c>
      <c r="K366" t="str">
        <f t="shared" si="8"/>
        <v>No</v>
      </c>
    </row>
    <row r="367" spans="3:11" x14ac:dyDescent="0.3">
      <c r="C367">
        <v>343</v>
      </c>
      <c r="D367">
        <v>1952.52</v>
      </c>
      <c r="E367" t="s">
        <v>650</v>
      </c>
      <c r="F367">
        <v>2359.1999999999998</v>
      </c>
      <c r="G367" t="s">
        <v>650</v>
      </c>
      <c r="H367">
        <v>2686.19</v>
      </c>
      <c r="I367" t="s">
        <v>650</v>
      </c>
      <c r="K367" t="str">
        <f t="shared" si="8"/>
        <v>No</v>
      </c>
    </row>
    <row r="368" spans="3:11" x14ac:dyDescent="0.3">
      <c r="C368">
        <v>344</v>
      </c>
      <c r="D368">
        <v>3421.78</v>
      </c>
      <c r="E368" t="s">
        <v>650</v>
      </c>
      <c r="F368">
        <v>1883.7</v>
      </c>
      <c r="G368" t="s">
        <v>650</v>
      </c>
      <c r="H368">
        <v>2569.6799999999998</v>
      </c>
      <c r="I368" t="s">
        <v>650</v>
      </c>
      <c r="K368" t="str">
        <f t="shared" si="8"/>
        <v>No</v>
      </c>
    </row>
    <row r="369" spans="3:11" x14ac:dyDescent="0.3">
      <c r="C369">
        <v>345</v>
      </c>
      <c r="D369">
        <v>2404.29</v>
      </c>
      <c r="E369" t="s">
        <v>650</v>
      </c>
      <c r="F369">
        <v>2802.49</v>
      </c>
      <c r="G369" t="s">
        <v>650</v>
      </c>
      <c r="H369">
        <v>3195.84</v>
      </c>
      <c r="I369" t="s">
        <v>650</v>
      </c>
      <c r="K369" t="str">
        <f t="shared" si="8"/>
        <v>No</v>
      </c>
    </row>
    <row r="370" spans="3:11" x14ac:dyDescent="0.3">
      <c r="C370">
        <v>346</v>
      </c>
      <c r="D370">
        <v>3010.52</v>
      </c>
      <c r="E370" t="s">
        <v>650</v>
      </c>
      <c r="F370">
        <v>2595.7199999999998</v>
      </c>
      <c r="G370" t="s">
        <v>650</v>
      </c>
      <c r="H370">
        <v>3892.14</v>
      </c>
      <c r="I370" t="s">
        <v>650</v>
      </c>
      <c r="K370" t="str">
        <f t="shared" si="8"/>
        <v>No</v>
      </c>
    </row>
    <row r="371" spans="3:11" x14ac:dyDescent="0.3">
      <c r="C371">
        <v>347</v>
      </c>
      <c r="D371">
        <v>3233.3</v>
      </c>
      <c r="E371" t="s">
        <v>650</v>
      </c>
      <c r="F371">
        <v>2529.29</v>
      </c>
      <c r="G371" t="s">
        <v>650</v>
      </c>
      <c r="H371">
        <v>3324.69</v>
      </c>
      <c r="I371" t="s">
        <v>650</v>
      </c>
      <c r="K371" t="str">
        <f t="shared" si="8"/>
        <v>No</v>
      </c>
    </row>
    <row r="372" spans="3:11" x14ac:dyDescent="0.3">
      <c r="C372">
        <v>348</v>
      </c>
      <c r="D372">
        <v>2549.85</v>
      </c>
      <c r="E372" t="s">
        <v>650</v>
      </c>
      <c r="F372">
        <v>1889.91</v>
      </c>
      <c r="G372" t="s">
        <v>650</v>
      </c>
      <c r="H372">
        <v>3551.44</v>
      </c>
      <c r="I372" t="s">
        <v>650</v>
      </c>
      <c r="K372" t="str">
        <f t="shared" si="8"/>
        <v>No</v>
      </c>
    </row>
    <row r="373" spans="3:11" x14ac:dyDescent="0.3">
      <c r="C373">
        <v>349</v>
      </c>
      <c r="D373">
        <v>3194.24</v>
      </c>
      <c r="E373" t="s">
        <v>650</v>
      </c>
      <c r="F373">
        <v>2924.48</v>
      </c>
      <c r="G373" t="s">
        <v>650</v>
      </c>
      <c r="H373">
        <v>4632.32</v>
      </c>
      <c r="I373" t="s">
        <v>650</v>
      </c>
      <c r="K373" t="str">
        <f t="shared" si="8"/>
        <v>No</v>
      </c>
    </row>
    <row r="374" spans="3:11" x14ac:dyDescent="0.3">
      <c r="C374">
        <v>350</v>
      </c>
      <c r="D374">
        <v>2942.61</v>
      </c>
      <c r="E374" t="s">
        <v>650</v>
      </c>
      <c r="F374">
        <v>4127.55</v>
      </c>
      <c r="G374" t="s">
        <v>650</v>
      </c>
      <c r="H374">
        <v>3882.79</v>
      </c>
      <c r="I374" t="s">
        <v>650</v>
      </c>
      <c r="K374" t="str">
        <f t="shared" si="8"/>
        <v>No</v>
      </c>
    </row>
    <row r="375" spans="3:11" x14ac:dyDescent="0.3">
      <c r="C375">
        <v>351</v>
      </c>
      <c r="D375">
        <v>2753.53</v>
      </c>
      <c r="E375" t="s">
        <v>650</v>
      </c>
      <c r="F375">
        <v>1503.55</v>
      </c>
      <c r="G375" t="s">
        <v>650</v>
      </c>
      <c r="H375">
        <v>3446.66</v>
      </c>
      <c r="I375" t="s">
        <v>650</v>
      </c>
      <c r="K375" t="str">
        <f t="shared" si="8"/>
        <v>No</v>
      </c>
    </row>
    <row r="376" spans="3:11" x14ac:dyDescent="0.3">
      <c r="C376">
        <v>352</v>
      </c>
      <c r="D376">
        <v>3005.61</v>
      </c>
      <c r="E376" t="s">
        <v>650</v>
      </c>
      <c r="F376">
        <v>4098.37</v>
      </c>
      <c r="G376" t="s">
        <v>650</v>
      </c>
      <c r="H376">
        <v>2346.2399999999998</v>
      </c>
      <c r="I376" t="s">
        <v>650</v>
      </c>
      <c r="K376" t="str">
        <f t="shared" si="8"/>
        <v>No</v>
      </c>
    </row>
    <row r="377" spans="3:11" x14ac:dyDescent="0.3">
      <c r="C377">
        <v>353</v>
      </c>
      <c r="D377">
        <v>3355.55</v>
      </c>
      <c r="E377" t="s">
        <v>650</v>
      </c>
      <c r="F377">
        <v>1270.72</v>
      </c>
      <c r="G377" t="s">
        <v>650</v>
      </c>
      <c r="H377">
        <v>2908.87</v>
      </c>
      <c r="I377" t="s">
        <v>650</v>
      </c>
      <c r="K377" t="str">
        <f t="shared" si="8"/>
        <v>No</v>
      </c>
    </row>
    <row r="378" spans="3:11" x14ac:dyDescent="0.3">
      <c r="C378">
        <v>354</v>
      </c>
      <c r="D378">
        <v>2971.41</v>
      </c>
      <c r="E378" t="s">
        <v>650</v>
      </c>
      <c r="F378">
        <v>2010.22</v>
      </c>
      <c r="G378" t="s">
        <v>650</v>
      </c>
      <c r="H378">
        <v>2905.13</v>
      </c>
      <c r="I378" t="s">
        <v>650</v>
      </c>
      <c r="K378" t="str">
        <f t="shared" si="8"/>
        <v>No</v>
      </c>
    </row>
    <row r="379" spans="3:11" x14ac:dyDescent="0.3">
      <c r="C379">
        <v>355</v>
      </c>
      <c r="D379">
        <v>3236.83</v>
      </c>
      <c r="E379" t="s">
        <v>650</v>
      </c>
      <c r="F379">
        <v>3196.74</v>
      </c>
      <c r="G379" t="s">
        <v>650</v>
      </c>
      <c r="H379">
        <v>2051.0700000000002</v>
      </c>
      <c r="I379" t="s">
        <v>650</v>
      </c>
      <c r="K379" t="str">
        <f t="shared" si="8"/>
        <v>No</v>
      </c>
    </row>
    <row r="380" spans="3:11" x14ac:dyDescent="0.3">
      <c r="C380">
        <v>356</v>
      </c>
      <c r="D380">
        <v>3428.73</v>
      </c>
      <c r="E380" t="s">
        <v>650</v>
      </c>
      <c r="F380">
        <v>3513.54</v>
      </c>
      <c r="G380" t="s">
        <v>650</v>
      </c>
      <c r="H380">
        <v>4215.58</v>
      </c>
      <c r="I380" t="s">
        <v>650</v>
      </c>
      <c r="K380" t="str">
        <f t="shared" si="8"/>
        <v>No</v>
      </c>
    </row>
    <row r="381" spans="3:11" x14ac:dyDescent="0.3">
      <c r="C381">
        <v>357</v>
      </c>
      <c r="D381">
        <v>2233.69</v>
      </c>
      <c r="E381" t="s">
        <v>650</v>
      </c>
      <c r="F381">
        <v>3286.78</v>
      </c>
      <c r="G381" t="s">
        <v>650</v>
      </c>
      <c r="H381">
        <v>3242.84</v>
      </c>
      <c r="I381" t="s">
        <v>650</v>
      </c>
      <c r="K381" t="str">
        <f t="shared" si="8"/>
        <v>No</v>
      </c>
    </row>
    <row r="382" spans="3:11" x14ac:dyDescent="0.3">
      <c r="C382">
        <v>358</v>
      </c>
      <c r="D382">
        <v>2237.37</v>
      </c>
      <c r="E382" t="s">
        <v>650</v>
      </c>
      <c r="F382">
        <v>3023.33</v>
      </c>
      <c r="G382" t="s">
        <v>650</v>
      </c>
      <c r="H382">
        <v>3188.04</v>
      </c>
      <c r="I382" t="s">
        <v>650</v>
      </c>
      <c r="K382" t="str">
        <f t="shared" si="8"/>
        <v>No</v>
      </c>
    </row>
    <row r="383" spans="3:11" x14ac:dyDescent="0.3">
      <c r="C383">
        <v>359</v>
      </c>
      <c r="D383">
        <v>3054.78</v>
      </c>
      <c r="E383" t="s">
        <v>650</v>
      </c>
      <c r="F383">
        <v>2867.82</v>
      </c>
      <c r="G383" t="s">
        <v>650</v>
      </c>
      <c r="H383">
        <v>3881.36</v>
      </c>
      <c r="I383" t="s">
        <v>650</v>
      </c>
      <c r="K383" t="str">
        <f t="shared" si="8"/>
        <v>No</v>
      </c>
    </row>
    <row r="384" spans="3:11" x14ac:dyDescent="0.3">
      <c r="C384">
        <v>360</v>
      </c>
      <c r="D384">
        <v>2596.79</v>
      </c>
      <c r="E384" t="s">
        <v>650</v>
      </c>
      <c r="F384">
        <v>2135.21</v>
      </c>
      <c r="G384" t="s">
        <v>650</v>
      </c>
      <c r="H384">
        <v>4746.13</v>
      </c>
      <c r="I384" t="s">
        <v>650</v>
      </c>
      <c r="K384" t="str">
        <f t="shared" si="8"/>
        <v>No</v>
      </c>
    </row>
    <row r="385" spans="3:11" x14ac:dyDescent="0.3">
      <c r="C385">
        <v>361</v>
      </c>
      <c r="D385">
        <v>2179.73</v>
      </c>
      <c r="E385" t="s">
        <v>650</v>
      </c>
      <c r="F385">
        <v>3128.87</v>
      </c>
      <c r="G385" t="s">
        <v>650</v>
      </c>
      <c r="H385">
        <v>3103.71</v>
      </c>
      <c r="I385" t="s">
        <v>650</v>
      </c>
      <c r="K385" t="str">
        <f t="shared" si="8"/>
        <v>No</v>
      </c>
    </row>
    <row r="386" spans="3:11" x14ac:dyDescent="0.3">
      <c r="C386">
        <v>362</v>
      </c>
      <c r="D386">
        <v>3554.97</v>
      </c>
      <c r="E386" t="s">
        <v>650</v>
      </c>
      <c r="F386">
        <v>3256.39</v>
      </c>
      <c r="G386" t="s">
        <v>650</v>
      </c>
      <c r="H386">
        <v>2683.63</v>
      </c>
      <c r="I386" t="s">
        <v>650</v>
      </c>
      <c r="K386" t="str">
        <f t="shared" si="8"/>
        <v>No</v>
      </c>
    </row>
    <row r="387" spans="3:11" x14ac:dyDescent="0.3">
      <c r="C387">
        <v>363</v>
      </c>
      <c r="D387">
        <v>3470.96</v>
      </c>
      <c r="E387" t="s">
        <v>650</v>
      </c>
      <c r="F387">
        <v>3605.28</v>
      </c>
      <c r="G387" t="s">
        <v>650</v>
      </c>
      <c r="H387">
        <v>3857.98</v>
      </c>
      <c r="I387" t="s">
        <v>650</v>
      </c>
      <c r="K387" t="str">
        <f t="shared" si="8"/>
        <v>No</v>
      </c>
    </row>
    <row r="388" spans="3:11" x14ac:dyDescent="0.3">
      <c r="C388">
        <v>364</v>
      </c>
      <c r="D388">
        <v>2802.62</v>
      </c>
      <c r="E388" t="s">
        <v>650</v>
      </c>
      <c r="F388">
        <v>1963.56</v>
      </c>
      <c r="G388" t="s">
        <v>650</v>
      </c>
      <c r="H388">
        <v>5261.96</v>
      </c>
      <c r="I388" t="s">
        <v>650</v>
      </c>
      <c r="K388" t="str">
        <f t="shared" si="8"/>
        <v>No</v>
      </c>
    </row>
    <row r="389" spans="3:11" x14ac:dyDescent="0.3">
      <c r="C389">
        <v>365</v>
      </c>
      <c r="D389">
        <v>3450.72</v>
      </c>
      <c r="E389" t="s">
        <v>650</v>
      </c>
      <c r="F389">
        <v>2083.13</v>
      </c>
      <c r="G389" t="s">
        <v>650</v>
      </c>
      <c r="H389">
        <v>2642.14</v>
      </c>
      <c r="I389" t="s">
        <v>650</v>
      </c>
      <c r="K389" t="str">
        <f t="shared" si="8"/>
        <v>No</v>
      </c>
    </row>
    <row r="390" spans="3:11" x14ac:dyDescent="0.3">
      <c r="C390">
        <v>366</v>
      </c>
      <c r="D390">
        <v>3858.73</v>
      </c>
      <c r="E390" t="s">
        <v>650</v>
      </c>
      <c r="F390">
        <v>2385.09</v>
      </c>
      <c r="G390" t="s">
        <v>650</v>
      </c>
      <c r="H390">
        <v>2785.29</v>
      </c>
      <c r="I390" t="s">
        <v>650</v>
      </c>
      <c r="K390" t="str">
        <f t="shared" si="8"/>
        <v>No</v>
      </c>
    </row>
    <row r="391" spans="3:11" x14ac:dyDescent="0.3">
      <c r="C391">
        <v>367</v>
      </c>
      <c r="D391">
        <v>2408.16</v>
      </c>
      <c r="E391" t="s">
        <v>650</v>
      </c>
      <c r="F391">
        <v>3075.71</v>
      </c>
      <c r="G391" t="s">
        <v>650</v>
      </c>
      <c r="H391">
        <v>3848.97</v>
      </c>
      <c r="I391" t="s">
        <v>650</v>
      </c>
      <c r="K391" t="str">
        <f t="shared" si="8"/>
        <v>No</v>
      </c>
    </row>
    <row r="392" spans="3:11" x14ac:dyDescent="0.3">
      <c r="C392">
        <v>368</v>
      </c>
      <c r="D392">
        <v>2708.8</v>
      </c>
      <c r="E392" t="s">
        <v>650</v>
      </c>
      <c r="F392">
        <v>2807.48</v>
      </c>
      <c r="G392" t="s">
        <v>650</v>
      </c>
      <c r="H392">
        <v>2792.69</v>
      </c>
      <c r="I392" t="s">
        <v>650</v>
      </c>
      <c r="K392" t="str">
        <f t="shared" si="8"/>
        <v>No</v>
      </c>
    </row>
    <row r="393" spans="3:11" x14ac:dyDescent="0.3">
      <c r="C393">
        <v>369</v>
      </c>
      <c r="D393">
        <v>3480.7</v>
      </c>
      <c r="E393" t="s">
        <v>650</v>
      </c>
      <c r="F393">
        <v>1483.18</v>
      </c>
      <c r="G393" t="s">
        <v>650</v>
      </c>
      <c r="H393">
        <v>3853.56</v>
      </c>
      <c r="I393" t="s">
        <v>650</v>
      </c>
      <c r="K393" t="str">
        <f t="shared" si="8"/>
        <v>No</v>
      </c>
    </row>
    <row r="394" spans="3:11" x14ac:dyDescent="0.3">
      <c r="C394">
        <v>370</v>
      </c>
      <c r="D394">
        <v>2868.28</v>
      </c>
      <c r="E394" t="s">
        <v>650</v>
      </c>
      <c r="F394">
        <v>3260.88</v>
      </c>
      <c r="G394" t="s">
        <v>650</v>
      </c>
      <c r="H394">
        <v>4361.58</v>
      </c>
      <c r="I394" t="s">
        <v>650</v>
      </c>
      <c r="K394" t="str">
        <f t="shared" si="8"/>
        <v>No</v>
      </c>
    </row>
    <row r="395" spans="3:11" x14ac:dyDescent="0.3">
      <c r="C395">
        <v>371</v>
      </c>
      <c r="D395">
        <v>3463.56</v>
      </c>
      <c r="E395" t="s">
        <v>650</v>
      </c>
      <c r="F395">
        <v>4043.43</v>
      </c>
      <c r="G395" t="s">
        <v>650</v>
      </c>
      <c r="H395">
        <v>2828.11</v>
      </c>
      <c r="I395" t="s">
        <v>650</v>
      </c>
      <c r="K395" t="str">
        <f t="shared" si="8"/>
        <v>No</v>
      </c>
    </row>
    <row r="396" spans="3:11" x14ac:dyDescent="0.3">
      <c r="C396">
        <v>372</v>
      </c>
      <c r="D396">
        <v>2666.94</v>
      </c>
      <c r="E396" t="s">
        <v>650</v>
      </c>
      <c r="F396">
        <v>2636.15</v>
      </c>
      <c r="G396" t="s">
        <v>650</v>
      </c>
      <c r="H396">
        <v>5272.43</v>
      </c>
      <c r="I396" t="s">
        <v>650</v>
      </c>
      <c r="K396" t="str">
        <f t="shared" si="8"/>
        <v>No</v>
      </c>
    </row>
    <row r="397" spans="3:11" x14ac:dyDescent="0.3">
      <c r="C397">
        <v>373</v>
      </c>
      <c r="D397">
        <v>3518.69</v>
      </c>
      <c r="E397" t="s">
        <v>650</v>
      </c>
      <c r="F397">
        <v>3905.9</v>
      </c>
      <c r="G397" t="s">
        <v>650</v>
      </c>
      <c r="H397">
        <v>3406.39</v>
      </c>
      <c r="I397" t="s">
        <v>650</v>
      </c>
      <c r="K397" t="str">
        <f t="shared" si="8"/>
        <v>No</v>
      </c>
    </row>
    <row r="398" spans="3:11" x14ac:dyDescent="0.3">
      <c r="C398">
        <v>374</v>
      </c>
      <c r="D398">
        <v>2951.29</v>
      </c>
      <c r="E398" t="s">
        <v>650</v>
      </c>
      <c r="F398">
        <v>3385.82</v>
      </c>
      <c r="G398" t="s">
        <v>650</v>
      </c>
      <c r="H398">
        <v>2868.7</v>
      </c>
      <c r="I398" t="s">
        <v>650</v>
      </c>
      <c r="K398" t="str">
        <f t="shared" si="8"/>
        <v>No</v>
      </c>
    </row>
    <row r="399" spans="3:11" x14ac:dyDescent="0.3">
      <c r="C399">
        <v>375</v>
      </c>
      <c r="D399">
        <v>3576.62</v>
      </c>
      <c r="E399" t="s">
        <v>650</v>
      </c>
      <c r="F399">
        <v>3547.87</v>
      </c>
      <c r="G399" t="s">
        <v>650</v>
      </c>
      <c r="H399">
        <v>3306.29</v>
      </c>
      <c r="I399" t="s">
        <v>650</v>
      </c>
      <c r="K399" t="str">
        <f t="shared" si="8"/>
        <v>No</v>
      </c>
    </row>
    <row r="400" spans="3:11" x14ac:dyDescent="0.3">
      <c r="C400">
        <v>376</v>
      </c>
      <c r="D400">
        <v>2394.34</v>
      </c>
      <c r="E400" t="s">
        <v>650</v>
      </c>
      <c r="F400">
        <v>4114.8</v>
      </c>
      <c r="G400" t="s">
        <v>650</v>
      </c>
      <c r="H400">
        <v>2501</v>
      </c>
      <c r="I400" t="s">
        <v>650</v>
      </c>
      <c r="K400" t="str">
        <f t="shared" si="8"/>
        <v>No</v>
      </c>
    </row>
    <row r="401" spans="3:11" x14ac:dyDescent="0.3">
      <c r="C401">
        <v>377</v>
      </c>
      <c r="D401">
        <v>1934.34</v>
      </c>
      <c r="E401" t="s">
        <v>650</v>
      </c>
      <c r="F401">
        <v>1697.94</v>
      </c>
      <c r="G401" t="s">
        <v>650</v>
      </c>
      <c r="H401">
        <v>2348.58</v>
      </c>
      <c r="I401" t="s">
        <v>650</v>
      </c>
      <c r="K401" t="str">
        <f t="shared" si="8"/>
        <v>No</v>
      </c>
    </row>
    <row r="402" spans="3:11" x14ac:dyDescent="0.3">
      <c r="C402">
        <v>378</v>
      </c>
      <c r="D402">
        <v>3205.51</v>
      </c>
      <c r="E402" t="s">
        <v>650</v>
      </c>
      <c r="F402">
        <v>2851.98</v>
      </c>
      <c r="G402" t="s">
        <v>650</v>
      </c>
      <c r="H402">
        <v>3895.84</v>
      </c>
      <c r="I402" t="s">
        <v>650</v>
      </c>
      <c r="K402" t="str">
        <f t="shared" si="8"/>
        <v>No</v>
      </c>
    </row>
    <row r="403" spans="3:11" x14ac:dyDescent="0.3">
      <c r="C403">
        <v>379</v>
      </c>
      <c r="D403">
        <v>2450</v>
      </c>
      <c r="E403" t="s">
        <v>650</v>
      </c>
      <c r="F403">
        <v>3239.4</v>
      </c>
      <c r="G403" t="s">
        <v>650</v>
      </c>
      <c r="H403">
        <v>2845.75</v>
      </c>
      <c r="I403" t="s">
        <v>650</v>
      </c>
      <c r="K403" t="str">
        <f t="shared" si="8"/>
        <v>No</v>
      </c>
    </row>
    <row r="404" spans="3:11" x14ac:dyDescent="0.3">
      <c r="C404">
        <v>380</v>
      </c>
      <c r="D404">
        <v>3998.06</v>
      </c>
      <c r="E404" t="s">
        <v>650</v>
      </c>
      <c r="F404">
        <v>3585.05</v>
      </c>
      <c r="G404" t="s">
        <v>650</v>
      </c>
      <c r="H404">
        <v>4050.8</v>
      </c>
      <c r="I404" t="s">
        <v>650</v>
      </c>
      <c r="K404" t="str">
        <f t="shared" si="8"/>
        <v>No</v>
      </c>
    </row>
    <row r="405" spans="3:11" x14ac:dyDescent="0.3">
      <c r="C405">
        <v>381</v>
      </c>
      <c r="D405">
        <v>2744.16</v>
      </c>
      <c r="E405" t="s">
        <v>650</v>
      </c>
      <c r="F405">
        <v>2866.22</v>
      </c>
      <c r="G405" t="s">
        <v>650</v>
      </c>
      <c r="H405">
        <v>3477.06</v>
      </c>
      <c r="I405" t="s">
        <v>650</v>
      </c>
      <c r="K405" t="str">
        <f t="shared" si="8"/>
        <v>No</v>
      </c>
    </row>
    <row r="406" spans="3:11" x14ac:dyDescent="0.3">
      <c r="C406">
        <v>382</v>
      </c>
      <c r="D406">
        <v>2613.46</v>
      </c>
      <c r="E406" t="s">
        <v>650</v>
      </c>
      <c r="F406">
        <v>4531.96</v>
      </c>
      <c r="G406" t="s">
        <v>650</v>
      </c>
      <c r="H406">
        <v>4539.1899999999996</v>
      </c>
      <c r="I406" t="s">
        <v>650</v>
      </c>
      <c r="K406" t="str">
        <f t="shared" si="8"/>
        <v>No</v>
      </c>
    </row>
    <row r="407" spans="3:11" x14ac:dyDescent="0.3">
      <c r="C407">
        <v>383</v>
      </c>
      <c r="D407">
        <v>3278.41</v>
      </c>
      <c r="E407" t="s">
        <v>650</v>
      </c>
      <c r="F407">
        <v>2612.9699999999998</v>
      </c>
      <c r="G407" t="s">
        <v>650</v>
      </c>
      <c r="H407">
        <v>2050.0500000000002</v>
      </c>
      <c r="I407" t="s">
        <v>650</v>
      </c>
      <c r="K407" t="str">
        <f t="shared" si="8"/>
        <v>No</v>
      </c>
    </row>
    <row r="408" spans="3:11" x14ac:dyDescent="0.3">
      <c r="C408">
        <v>384</v>
      </c>
      <c r="D408">
        <v>2865.54</v>
      </c>
      <c r="E408" t="s">
        <v>650</v>
      </c>
      <c r="F408">
        <v>1472.28</v>
      </c>
      <c r="G408" t="s">
        <v>650</v>
      </c>
      <c r="H408">
        <v>3657.31</v>
      </c>
      <c r="I408" t="s">
        <v>650</v>
      </c>
      <c r="K408" t="str">
        <f t="shared" si="8"/>
        <v>No</v>
      </c>
    </row>
    <row r="409" spans="3:11" x14ac:dyDescent="0.3">
      <c r="C409">
        <v>385</v>
      </c>
      <c r="D409">
        <v>3509.96</v>
      </c>
      <c r="E409" t="s">
        <v>650</v>
      </c>
      <c r="F409">
        <v>2864.87</v>
      </c>
      <c r="G409" t="s">
        <v>650</v>
      </c>
      <c r="H409">
        <v>3256.69</v>
      </c>
      <c r="I409" t="s">
        <v>650</v>
      </c>
      <c r="K409" t="str">
        <f t="shared" ref="K409:K472" si="9">IF(AND(E409="No",G409="No",I409="No"),"No","Yes")</f>
        <v>No</v>
      </c>
    </row>
    <row r="410" spans="3:11" x14ac:dyDescent="0.3">
      <c r="C410">
        <v>386</v>
      </c>
      <c r="D410">
        <v>3163.39</v>
      </c>
      <c r="E410" t="s">
        <v>650</v>
      </c>
      <c r="F410">
        <v>2816.04</v>
      </c>
      <c r="G410" t="s">
        <v>650</v>
      </c>
      <c r="H410">
        <v>3439.41</v>
      </c>
      <c r="I410" t="s">
        <v>650</v>
      </c>
      <c r="K410" t="str">
        <f t="shared" si="9"/>
        <v>No</v>
      </c>
    </row>
    <row r="411" spans="3:11" x14ac:dyDescent="0.3">
      <c r="C411">
        <v>387</v>
      </c>
      <c r="D411">
        <v>2439.9299999999998</v>
      </c>
      <c r="E411" t="s">
        <v>650</v>
      </c>
      <c r="F411">
        <v>1476.53</v>
      </c>
      <c r="G411" t="s">
        <v>650</v>
      </c>
      <c r="H411">
        <v>3305.79</v>
      </c>
      <c r="I411" t="s">
        <v>650</v>
      </c>
      <c r="K411" t="str">
        <f t="shared" si="9"/>
        <v>No</v>
      </c>
    </row>
    <row r="412" spans="3:11" x14ac:dyDescent="0.3">
      <c r="C412">
        <v>388</v>
      </c>
      <c r="D412">
        <v>1830.15</v>
      </c>
      <c r="E412" t="s">
        <v>650</v>
      </c>
      <c r="F412">
        <v>2556.23</v>
      </c>
      <c r="G412" t="s">
        <v>650</v>
      </c>
      <c r="H412">
        <v>3407.57</v>
      </c>
      <c r="I412" t="s">
        <v>650</v>
      </c>
      <c r="K412" t="str">
        <f t="shared" si="9"/>
        <v>No</v>
      </c>
    </row>
    <row r="413" spans="3:11" x14ac:dyDescent="0.3">
      <c r="C413">
        <v>389</v>
      </c>
      <c r="D413">
        <v>2988.64</v>
      </c>
      <c r="E413" t="s">
        <v>650</v>
      </c>
      <c r="F413">
        <v>3632.17</v>
      </c>
      <c r="G413" t="s">
        <v>650</v>
      </c>
      <c r="H413">
        <v>3421.11</v>
      </c>
      <c r="I413" t="s">
        <v>650</v>
      </c>
      <c r="K413" t="str">
        <f t="shared" si="9"/>
        <v>No</v>
      </c>
    </row>
    <row r="414" spans="3:11" x14ac:dyDescent="0.3">
      <c r="C414">
        <v>390</v>
      </c>
      <c r="D414">
        <v>2904.51</v>
      </c>
      <c r="E414" t="s">
        <v>650</v>
      </c>
      <c r="F414">
        <v>3081.72</v>
      </c>
      <c r="G414" t="s">
        <v>650</v>
      </c>
      <c r="H414">
        <v>3168.5</v>
      </c>
      <c r="I414" t="s">
        <v>650</v>
      </c>
      <c r="K414" t="str">
        <f t="shared" si="9"/>
        <v>No</v>
      </c>
    </row>
    <row r="415" spans="3:11" x14ac:dyDescent="0.3">
      <c r="C415">
        <v>391</v>
      </c>
      <c r="D415">
        <v>2543.4499999999998</v>
      </c>
      <c r="E415" t="s">
        <v>650</v>
      </c>
      <c r="F415">
        <v>3005.8</v>
      </c>
      <c r="G415" t="s">
        <v>650</v>
      </c>
      <c r="H415">
        <v>3401.1</v>
      </c>
      <c r="I415" t="s">
        <v>650</v>
      </c>
      <c r="K415" t="str">
        <f t="shared" si="9"/>
        <v>No</v>
      </c>
    </row>
    <row r="416" spans="3:11" x14ac:dyDescent="0.3">
      <c r="C416">
        <v>392</v>
      </c>
      <c r="D416">
        <v>2660.66</v>
      </c>
      <c r="E416" t="s">
        <v>650</v>
      </c>
      <c r="F416">
        <v>2853.8</v>
      </c>
      <c r="G416" t="s">
        <v>650</v>
      </c>
      <c r="H416">
        <v>2979.13</v>
      </c>
      <c r="I416" t="s">
        <v>650</v>
      </c>
      <c r="K416" t="str">
        <f t="shared" si="9"/>
        <v>No</v>
      </c>
    </row>
    <row r="417" spans="3:11" x14ac:dyDescent="0.3">
      <c r="C417">
        <v>393</v>
      </c>
      <c r="D417">
        <v>2294.27</v>
      </c>
      <c r="E417" t="s">
        <v>650</v>
      </c>
      <c r="F417">
        <v>2150.8000000000002</v>
      </c>
      <c r="G417" t="s">
        <v>650</v>
      </c>
      <c r="H417">
        <v>3029.7</v>
      </c>
      <c r="I417" t="s">
        <v>650</v>
      </c>
      <c r="K417" t="str">
        <f t="shared" si="9"/>
        <v>No</v>
      </c>
    </row>
    <row r="418" spans="3:11" x14ac:dyDescent="0.3">
      <c r="C418">
        <v>394</v>
      </c>
      <c r="D418">
        <v>2862.1</v>
      </c>
      <c r="E418" t="s">
        <v>650</v>
      </c>
      <c r="F418">
        <v>3658.93</v>
      </c>
      <c r="G418" t="s">
        <v>650</v>
      </c>
      <c r="H418">
        <v>3384.37</v>
      </c>
      <c r="I418" t="s">
        <v>650</v>
      </c>
      <c r="K418" t="str">
        <f t="shared" si="9"/>
        <v>No</v>
      </c>
    </row>
    <row r="419" spans="3:11" x14ac:dyDescent="0.3">
      <c r="C419">
        <v>395</v>
      </c>
      <c r="D419">
        <v>2793.11</v>
      </c>
      <c r="E419" t="s">
        <v>650</v>
      </c>
      <c r="F419">
        <v>2250.3200000000002</v>
      </c>
      <c r="G419" t="s">
        <v>650</v>
      </c>
      <c r="H419">
        <v>3529.11</v>
      </c>
      <c r="I419" t="s">
        <v>650</v>
      </c>
      <c r="K419" t="str">
        <f t="shared" si="9"/>
        <v>No</v>
      </c>
    </row>
    <row r="420" spans="3:11" x14ac:dyDescent="0.3">
      <c r="C420">
        <v>396</v>
      </c>
      <c r="D420">
        <v>3046.19</v>
      </c>
      <c r="E420" t="s">
        <v>650</v>
      </c>
      <c r="F420">
        <v>3592.45</v>
      </c>
      <c r="G420" t="s">
        <v>650</v>
      </c>
      <c r="H420">
        <v>3457.53</v>
      </c>
      <c r="I420" t="s">
        <v>650</v>
      </c>
      <c r="K420" t="str">
        <f t="shared" si="9"/>
        <v>No</v>
      </c>
    </row>
    <row r="421" spans="3:11" x14ac:dyDescent="0.3">
      <c r="C421">
        <v>397</v>
      </c>
      <c r="D421">
        <v>3839.68</v>
      </c>
      <c r="E421" t="s">
        <v>650</v>
      </c>
      <c r="F421">
        <v>3133.09</v>
      </c>
      <c r="G421" t="s">
        <v>650</v>
      </c>
      <c r="H421">
        <v>3276.42</v>
      </c>
      <c r="I421" t="s">
        <v>650</v>
      </c>
      <c r="K421" t="str">
        <f t="shared" si="9"/>
        <v>No</v>
      </c>
    </row>
    <row r="422" spans="3:11" x14ac:dyDescent="0.3">
      <c r="C422">
        <v>398</v>
      </c>
      <c r="D422">
        <v>3157.4</v>
      </c>
      <c r="E422" t="s">
        <v>650</v>
      </c>
      <c r="F422">
        <v>2475.5</v>
      </c>
      <c r="G422" t="s">
        <v>650</v>
      </c>
      <c r="H422">
        <v>3007.64</v>
      </c>
      <c r="I422" t="s">
        <v>650</v>
      </c>
      <c r="K422" t="str">
        <f t="shared" si="9"/>
        <v>No</v>
      </c>
    </row>
    <row r="423" spans="3:11" x14ac:dyDescent="0.3">
      <c r="C423">
        <v>399</v>
      </c>
      <c r="D423">
        <v>2955.07</v>
      </c>
      <c r="E423" t="s">
        <v>650</v>
      </c>
      <c r="F423">
        <v>2401.06</v>
      </c>
      <c r="G423" t="s">
        <v>650</v>
      </c>
      <c r="H423">
        <v>4211.7700000000004</v>
      </c>
      <c r="I423" t="s">
        <v>650</v>
      </c>
      <c r="K423" t="str">
        <f t="shared" si="9"/>
        <v>No</v>
      </c>
    </row>
    <row r="424" spans="3:11" x14ac:dyDescent="0.3">
      <c r="C424">
        <v>400</v>
      </c>
      <c r="D424">
        <v>2036.78</v>
      </c>
      <c r="E424" t="s">
        <v>650</v>
      </c>
      <c r="F424">
        <v>4171.22</v>
      </c>
      <c r="G424" t="s">
        <v>650</v>
      </c>
      <c r="H424">
        <v>1854.98</v>
      </c>
      <c r="I424" t="s">
        <v>650</v>
      </c>
      <c r="K424" t="str">
        <f t="shared" si="9"/>
        <v>No</v>
      </c>
    </row>
    <row r="425" spans="3:11" x14ac:dyDescent="0.3">
      <c r="C425">
        <v>401</v>
      </c>
      <c r="D425">
        <v>2804.54</v>
      </c>
      <c r="E425" t="s">
        <v>650</v>
      </c>
      <c r="F425">
        <v>3018.45</v>
      </c>
      <c r="G425" t="s">
        <v>650</v>
      </c>
      <c r="H425">
        <v>4281.54</v>
      </c>
      <c r="I425" t="s">
        <v>650</v>
      </c>
      <c r="K425" t="str">
        <f t="shared" si="9"/>
        <v>No</v>
      </c>
    </row>
    <row r="426" spans="3:11" x14ac:dyDescent="0.3">
      <c r="C426">
        <v>402</v>
      </c>
      <c r="D426">
        <v>3506.06</v>
      </c>
      <c r="E426" t="s">
        <v>650</v>
      </c>
      <c r="F426">
        <v>3229.41</v>
      </c>
      <c r="G426" t="s">
        <v>650</v>
      </c>
      <c r="H426">
        <v>5120.99</v>
      </c>
      <c r="I426" t="s">
        <v>650</v>
      </c>
      <c r="K426" t="str">
        <f t="shared" si="9"/>
        <v>No</v>
      </c>
    </row>
    <row r="427" spans="3:11" x14ac:dyDescent="0.3">
      <c r="C427">
        <v>403</v>
      </c>
      <c r="D427">
        <v>2357.33</v>
      </c>
      <c r="E427" t="s">
        <v>650</v>
      </c>
      <c r="F427">
        <v>3277.95</v>
      </c>
      <c r="G427" t="s">
        <v>650</v>
      </c>
      <c r="H427">
        <v>4082.73</v>
      </c>
      <c r="I427" t="s">
        <v>650</v>
      </c>
      <c r="K427" t="str">
        <f t="shared" si="9"/>
        <v>No</v>
      </c>
    </row>
    <row r="428" spans="3:11" x14ac:dyDescent="0.3">
      <c r="C428">
        <v>404</v>
      </c>
      <c r="D428">
        <v>2284.15</v>
      </c>
      <c r="E428" t="s">
        <v>650</v>
      </c>
      <c r="F428">
        <v>3257.06</v>
      </c>
      <c r="G428" t="s">
        <v>650</v>
      </c>
      <c r="H428">
        <v>2393.6999999999998</v>
      </c>
      <c r="I428" t="s">
        <v>650</v>
      </c>
      <c r="K428" t="str">
        <f t="shared" si="9"/>
        <v>No</v>
      </c>
    </row>
    <row r="429" spans="3:11" x14ac:dyDescent="0.3">
      <c r="C429">
        <v>405</v>
      </c>
      <c r="D429">
        <v>3107.43</v>
      </c>
      <c r="E429" t="s">
        <v>650</v>
      </c>
      <c r="F429">
        <v>3045.43</v>
      </c>
      <c r="G429" t="s">
        <v>650</v>
      </c>
      <c r="H429">
        <v>2868.64</v>
      </c>
      <c r="I429" t="s">
        <v>650</v>
      </c>
      <c r="K429" t="str">
        <f t="shared" si="9"/>
        <v>No</v>
      </c>
    </row>
    <row r="430" spans="3:11" x14ac:dyDescent="0.3">
      <c r="C430">
        <v>406</v>
      </c>
      <c r="D430">
        <v>2230.27</v>
      </c>
      <c r="E430" t="s">
        <v>650</v>
      </c>
      <c r="F430">
        <v>2231.19</v>
      </c>
      <c r="G430" t="s">
        <v>650</v>
      </c>
      <c r="H430">
        <v>3368.32</v>
      </c>
      <c r="I430" t="s">
        <v>650</v>
      </c>
      <c r="K430" t="str">
        <f t="shared" si="9"/>
        <v>No</v>
      </c>
    </row>
    <row r="431" spans="3:11" x14ac:dyDescent="0.3">
      <c r="C431">
        <v>407</v>
      </c>
      <c r="D431">
        <v>2247.31</v>
      </c>
      <c r="E431" t="s">
        <v>650</v>
      </c>
      <c r="F431">
        <v>3169.86</v>
      </c>
      <c r="G431" t="s">
        <v>650</v>
      </c>
      <c r="H431">
        <v>4211.6400000000003</v>
      </c>
      <c r="I431" t="s">
        <v>650</v>
      </c>
      <c r="K431" t="str">
        <f t="shared" si="9"/>
        <v>No</v>
      </c>
    </row>
    <row r="432" spans="3:11" x14ac:dyDescent="0.3">
      <c r="C432">
        <v>408</v>
      </c>
      <c r="D432">
        <v>2771.76</v>
      </c>
      <c r="E432" t="s">
        <v>650</v>
      </c>
      <c r="F432">
        <v>2837.6</v>
      </c>
      <c r="G432" t="s">
        <v>650</v>
      </c>
      <c r="H432">
        <v>3789.75</v>
      </c>
      <c r="I432" t="s">
        <v>650</v>
      </c>
      <c r="K432" t="str">
        <f t="shared" si="9"/>
        <v>No</v>
      </c>
    </row>
    <row r="433" spans="3:11" x14ac:dyDescent="0.3">
      <c r="C433">
        <v>409</v>
      </c>
      <c r="D433">
        <v>3002.21</v>
      </c>
      <c r="E433" t="s">
        <v>650</v>
      </c>
      <c r="F433">
        <v>2054.44</v>
      </c>
      <c r="G433" t="s">
        <v>650</v>
      </c>
      <c r="H433">
        <v>974.21</v>
      </c>
      <c r="I433" t="s">
        <v>650</v>
      </c>
      <c r="K433" t="str">
        <f t="shared" si="9"/>
        <v>No</v>
      </c>
    </row>
    <row r="434" spans="3:11" x14ac:dyDescent="0.3">
      <c r="C434">
        <v>410</v>
      </c>
      <c r="D434">
        <v>2735.57</v>
      </c>
      <c r="E434" t="s">
        <v>650</v>
      </c>
      <c r="F434">
        <v>3600.43</v>
      </c>
      <c r="G434" t="s">
        <v>650</v>
      </c>
      <c r="H434">
        <v>3310.89</v>
      </c>
      <c r="I434" t="s">
        <v>650</v>
      </c>
      <c r="K434" t="str">
        <f t="shared" si="9"/>
        <v>No</v>
      </c>
    </row>
    <row r="435" spans="3:11" x14ac:dyDescent="0.3">
      <c r="C435">
        <v>411</v>
      </c>
      <c r="D435">
        <v>2958.38</v>
      </c>
      <c r="E435" t="s">
        <v>650</v>
      </c>
      <c r="F435">
        <v>2909.4</v>
      </c>
      <c r="G435" t="s">
        <v>650</v>
      </c>
      <c r="H435">
        <v>4073.43</v>
      </c>
      <c r="I435" t="s">
        <v>650</v>
      </c>
      <c r="K435" t="str">
        <f t="shared" si="9"/>
        <v>No</v>
      </c>
    </row>
    <row r="436" spans="3:11" x14ac:dyDescent="0.3">
      <c r="C436">
        <v>412</v>
      </c>
      <c r="D436">
        <v>3355.59</v>
      </c>
      <c r="E436" t="s">
        <v>650</v>
      </c>
      <c r="F436">
        <v>3361.24</v>
      </c>
      <c r="G436" t="s">
        <v>650</v>
      </c>
      <c r="H436">
        <v>3380.84</v>
      </c>
      <c r="I436" t="s">
        <v>650</v>
      </c>
      <c r="K436" t="str">
        <f t="shared" si="9"/>
        <v>No</v>
      </c>
    </row>
    <row r="437" spans="3:11" x14ac:dyDescent="0.3">
      <c r="C437">
        <v>413</v>
      </c>
      <c r="D437">
        <v>2850.4</v>
      </c>
      <c r="E437" t="s">
        <v>650</v>
      </c>
      <c r="F437">
        <v>4152.54</v>
      </c>
      <c r="G437" t="s">
        <v>650</v>
      </c>
      <c r="H437">
        <v>3691.33</v>
      </c>
      <c r="I437" t="s">
        <v>650</v>
      </c>
      <c r="K437" t="str">
        <f t="shared" si="9"/>
        <v>No</v>
      </c>
    </row>
    <row r="438" spans="3:11" x14ac:dyDescent="0.3">
      <c r="C438">
        <v>414</v>
      </c>
      <c r="D438">
        <v>3488.99</v>
      </c>
      <c r="E438" t="s">
        <v>650</v>
      </c>
      <c r="F438">
        <v>3581.72</v>
      </c>
      <c r="G438" t="s">
        <v>650</v>
      </c>
      <c r="H438">
        <v>4899.67</v>
      </c>
      <c r="I438" t="s">
        <v>650</v>
      </c>
      <c r="K438" t="str">
        <f t="shared" si="9"/>
        <v>No</v>
      </c>
    </row>
    <row r="439" spans="3:11" x14ac:dyDescent="0.3">
      <c r="C439">
        <v>415</v>
      </c>
      <c r="D439">
        <v>2728.8</v>
      </c>
      <c r="E439" t="s">
        <v>650</v>
      </c>
      <c r="F439">
        <v>3041.44</v>
      </c>
      <c r="G439" t="s">
        <v>650</v>
      </c>
      <c r="H439">
        <v>3400.87</v>
      </c>
      <c r="I439" t="s">
        <v>650</v>
      </c>
      <c r="K439" t="str">
        <f t="shared" si="9"/>
        <v>No</v>
      </c>
    </row>
    <row r="440" spans="3:11" x14ac:dyDescent="0.3">
      <c r="C440">
        <v>416</v>
      </c>
      <c r="D440">
        <v>2088.5700000000002</v>
      </c>
      <c r="E440" t="s">
        <v>650</v>
      </c>
      <c r="F440">
        <v>2184.9499999999998</v>
      </c>
      <c r="G440" t="s">
        <v>650</v>
      </c>
      <c r="H440">
        <v>4417.83</v>
      </c>
      <c r="I440" t="s">
        <v>650</v>
      </c>
      <c r="K440" t="str">
        <f t="shared" si="9"/>
        <v>No</v>
      </c>
    </row>
    <row r="441" spans="3:11" x14ac:dyDescent="0.3">
      <c r="C441">
        <v>417</v>
      </c>
      <c r="D441">
        <v>3918.56</v>
      </c>
      <c r="E441" t="s">
        <v>650</v>
      </c>
      <c r="F441">
        <v>3562.97</v>
      </c>
      <c r="G441" t="s">
        <v>650</v>
      </c>
      <c r="H441">
        <v>3468.16</v>
      </c>
      <c r="I441" t="s">
        <v>650</v>
      </c>
      <c r="K441" t="str">
        <f t="shared" si="9"/>
        <v>No</v>
      </c>
    </row>
    <row r="442" spans="3:11" x14ac:dyDescent="0.3">
      <c r="C442">
        <v>418</v>
      </c>
      <c r="D442">
        <v>3030.51</v>
      </c>
      <c r="E442" t="s">
        <v>650</v>
      </c>
      <c r="F442">
        <v>2475.42</v>
      </c>
      <c r="G442" t="s">
        <v>650</v>
      </c>
      <c r="H442">
        <v>4984.6499999999996</v>
      </c>
      <c r="I442" t="s">
        <v>650</v>
      </c>
      <c r="K442" t="str">
        <f t="shared" si="9"/>
        <v>No</v>
      </c>
    </row>
    <row r="443" spans="3:11" x14ac:dyDescent="0.3">
      <c r="C443">
        <v>419</v>
      </c>
      <c r="D443">
        <v>3228.54</v>
      </c>
      <c r="E443" t="s">
        <v>650</v>
      </c>
      <c r="F443">
        <v>2188.8000000000002</v>
      </c>
      <c r="G443" t="s">
        <v>650</v>
      </c>
      <c r="H443">
        <v>3541.96</v>
      </c>
      <c r="I443" t="s">
        <v>650</v>
      </c>
      <c r="K443" t="str">
        <f t="shared" si="9"/>
        <v>No</v>
      </c>
    </row>
    <row r="444" spans="3:11" x14ac:dyDescent="0.3">
      <c r="C444">
        <v>420</v>
      </c>
      <c r="D444">
        <v>2794.96</v>
      </c>
      <c r="E444" t="s">
        <v>650</v>
      </c>
      <c r="F444">
        <v>3542.44</v>
      </c>
      <c r="G444" t="s">
        <v>650</v>
      </c>
      <c r="H444">
        <v>3426.06</v>
      </c>
      <c r="I444" t="s">
        <v>650</v>
      </c>
      <c r="K444" t="str">
        <f t="shared" si="9"/>
        <v>No</v>
      </c>
    </row>
    <row r="445" spans="3:11" x14ac:dyDescent="0.3">
      <c r="C445">
        <v>421</v>
      </c>
      <c r="D445">
        <v>3816.95</v>
      </c>
      <c r="E445" t="s">
        <v>650</v>
      </c>
      <c r="F445">
        <v>2556.7399999999998</v>
      </c>
      <c r="G445" t="s">
        <v>650</v>
      </c>
      <c r="H445">
        <v>3245.37</v>
      </c>
      <c r="I445" t="s">
        <v>650</v>
      </c>
      <c r="K445" t="str">
        <f t="shared" si="9"/>
        <v>No</v>
      </c>
    </row>
    <row r="446" spans="3:11" x14ac:dyDescent="0.3">
      <c r="C446">
        <v>422</v>
      </c>
      <c r="D446">
        <v>2297.4899999999998</v>
      </c>
      <c r="E446" t="s">
        <v>650</v>
      </c>
      <c r="F446">
        <v>2900.1</v>
      </c>
      <c r="G446" t="s">
        <v>650</v>
      </c>
      <c r="H446">
        <v>2330.06</v>
      </c>
      <c r="I446" t="s">
        <v>650</v>
      </c>
      <c r="K446" t="str">
        <f t="shared" si="9"/>
        <v>No</v>
      </c>
    </row>
    <row r="447" spans="3:11" x14ac:dyDescent="0.3">
      <c r="C447">
        <v>423</v>
      </c>
      <c r="D447">
        <v>2692.26</v>
      </c>
      <c r="E447" t="s">
        <v>650</v>
      </c>
      <c r="F447">
        <v>3466.74</v>
      </c>
      <c r="G447" t="s">
        <v>650</v>
      </c>
      <c r="H447">
        <v>2534.87</v>
      </c>
      <c r="I447" t="s">
        <v>650</v>
      </c>
      <c r="K447" t="str">
        <f t="shared" si="9"/>
        <v>No</v>
      </c>
    </row>
    <row r="448" spans="3:11" x14ac:dyDescent="0.3">
      <c r="C448">
        <v>424</v>
      </c>
      <c r="D448">
        <v>2945.63</v>
      </c>
      <c r="E448" t="s">
        <v>650</v>
      </c>
      <c r="F448">
        <v>2295.9499999999998</v>
      </c>
      <c r="G448" t="s">
        <v>650</v>
      </c>
      <c r="H448">
        <v>4079.41</v>
      </c>
      <c r="I448" t="s">
        <v>650</v>
      </c>
      <c r="K448" t="str">
        <f t="shared" si="9"/>
        <v>No</v>
      </c>
    </row>
    <row r="449" spans="3:11" x14ac:dyDescent="0.3">
      <c r="C449">
        <v>425</v>
      </c>
      <c r="D449">
        <v>2198.84</v>
      </c>
      <c r="E449" t="s">
        <v>650</v>
      </c>
      <c r="F449">
        <v>2303.62</v>
      </c>
      <c r="G449" t="s">
        <v>650</v>
      </c>
      <c r="H449">
        <v>2320.2800000000002</v>
      </c>
      <c r="I449" t="s">
        <v>650</v>
      </c>
      <c r="K449" t="str">
        <f t="shared" si="9"/>
        <v>No</v>
      </c>
    </row>
    <row r="450" spans="3:11" x14ac:dyDescent="0.3">
      <c r="C450">
        <v>426</v>
      </c>
      <c r="D450">
        <v>2958.62</v>
      </c>
      <c r="E450" t="s">
        <v>650</v>
      </c>
      <c r="F450">
        <v>3091.79</v>
      </c>
      <c r="G450" t="s">
        <v>650</v>
      </c>
      <c r="H450">
        <v>2584.19</v>
      </c>
      <c r="I450" t="s">
        <v>650</v>
      </c>
      <c r="K450" t="str">
        <f t="shared" si="9"/>
        <v>No</v>
      </c>
    </row>
    <row r="451" spans="3:11" x14ac:dyDescent="0.3">
      <c r="C451">
        <v>427</v>
      </c>
      <c r="D451">
        <v>2101.04</v>
      </c>
      <c r="E451" t="s">
        <v>650</v>
      </c>
      <c r="F451">
        <v>3929.06</v>
      </c>
      <c r="G451" t="s">
        <v>650</v>
      </c>
      <c r="H451">
        <v>2057.5100000000002</v>
      </c>
      <c r="I451" t="s">
        <v>650</v>
      </c>
      <c r="K451" t="str">
        <f t="shared" si="9"/>
        <v>No</v>
      </c>
    </row>
    <row r="452" spans="3:11" x14ac:dyDescent="0.3">
      <c r="C452">
        <v>428</v>
      </c>
      <c r="D452">
        <v>3829.17</v>
      </c>
      <c r="E452" t="s">
        <v>650</v>
      </c>
      <c r="F452">
        <v>2612.79</v>
      </c>
      <c r="G452" t="s">
        <v>650</v>
      </c>
      <c r="H452">
        <v>4972.76</v>
      </c>
      <c r="I452" t="s">
        <v>650</v>
      </c>
      <c r="K452" t="str">
        <f t="shared" si="9"/>
        <v>No</v>
      </c>
    </row>
    <row r="453" spans="3:11" x14ac:dyDescent="0.3">
      <c r="C453">
        <v>429</v>
      </c>
      <c r="D453">
        <v>2651.56</v>
      </c>
      <c r="E453" t="s">
        <v>650</v>
      </c>
      <c r="F453">
        <v>3105.97</v>
      </c>
      <c r="G453" t="s">
        <v>650</v>
      </c>
      <c r="H453">
        <v>3006.31</v>
      </c>
      <c r="I453" t="s">
        <v>650</v>
      </c>
      <c r="K453" t="str">
        <f t="shared" si="9"/>
        <v>No</v>
      </c>
    </row>
    <row r="454" spans="3:11" x14ac:dyDescent="0.3">
      <c r="C454">
        <v>430</v>
      </c>
      <c r="D454">
        <v>3239.07</v>
      </c>
      <c r="E454" t="s">
        <v>650</v>
      </c>
      <c r="F454">
        <v>3440.87</v>
      </c>
      <c r="G454" t="s">
        <v>650</v>
      </c>
      <c r="H454">
        <v>3753.87</v>
      </c>
      <c r="I454" t="s">
        <v>650</v>
      </c>
      <c r="K454" t="str">
        <f t="shared" si="9"/>
        <v>No</v>
      </c>
    </row>
    <row r="455" spans="3:11" x14ac:dyDescent="0.3">
      <c r="C455">
        <v>431</v>
      </c>
      <c r="D455">
        <v>3036.3</v>
      </c>
      <c r="E455" t="s">
        <v>650</v>
      </c>
      <c r="F455">
        <v>2460.19</v>
      </c>
      <c r="G455" t="s">
        <v>650</v>
      </c>
      <c r="H455">
        <v>1847.43</v>
      </c>
      <c r="I455" t="s">
        <v>650</v>
      </c>
      <c r="K455" t="str">
        <f t="shared" si="9"/>
        <v>No</v>
      </c>
    </row>
    <row r="456" spans="3:11" x14ac:dyDescent="0.3">
      <c r="C456">
        <v>432</v>
      </c>
      <c r="D456">
        <v>2229.48</v>
      </c>
      <c r="E456" t="s">
        <v>650</v>
      </c>
      <c r="F456">
        <v>3167.94</v>
      </c>
      <c r="G456" t="s">
        <v>650</v>
      </c>
      <c r="H456">
        <v>3532.35</v>
      </c>
      <c r="I456" t="s">
        <v>650</v>
      </c>
      <c r="K456" t="str">
        <f t="shared" si="9"/>
        <v>No</v>
      </c>
    </row>
    <row r="457" spans="3:11" x14ac:dyDescent="0.3">
      <c r="C457">
        <v>433</v>
      </c>
      <c r="D457">
        <v>3840.21</v>
      </c>
      <c r="E457" t="s">
        <v>650</v>
      </c>
      <c r="F457">
        <v>2273.17</v>
      </c>
      <c r="G457" t="s">
        <v>650</v>
      </c>
      <c r="H457">
        <v>3975.31</v>
      </c>
      <c r="I457" t="s">
        <v>650</v>
      </c>
      <c r="K457" t="str">
        <f t="shared" si="9"/>
        <v>No</v>
      </c>
    </row>
    <row r="458" spans="3:11" x14ac:dyDescent="0.3">
      <c r="C458">
        <v>434</v>
      </c>
      <c r="D458">
        <v>3661.41</v>
      </c>
      <c r="E458" t="s">
        <v>650</v>
      </c>
      <c r="F458">
        <v>2557.54</v>
      </c>
      <c r="G458" t="s">
        <v>650</v>
      </c>
      <c r="H458">
        <v>4002.88</v>
      </c>
      <c r="I458" t="s">
        <v>650</v>
      </c>
      <c r="K458" t="str">
        <f t="shared" si="9"/>
        <v>No</v>
      </c>
    </row>
    <row r="459" spans="3:11" x14ac:dyDescent="0.3">
      <c r="C459">
        <v>435</v>
      </c>
      <c r="D459">
        <v>3614.39</v>
      </c>
      <c r="E459" t="s">
        <v>650</v>
      </c>
      <c r="F459">
        <v>2192.0500000000002</v>
      </c>
      <c r="G459" t="s">
        <v>650</v>
      </c>
      <c r="H459">
        <v>1838.64</v>
      </c>
      <c r="I459" t="s">
        <v>650</v>
      </c>
      <c r="K459" t="str">
        <f t="shared" si="9"/>
        <v>No</v>
      </c>
    </row>
    <row r="460" spans="3:11" x14ac:dyDescent="0.3">
      <c r="C460">
        <v>436</v>
      </c>
      <c r="D460">
        <v>3839.92</v>
      </c>
      <c r="E460" t="s">
        <v>650</v>
      </c>
      <c r="F460">
        <v>2715.86</v>
      </c>
      <c r="G460" t="s">
        <v>650</v>
      </c>
      <c r="H460">
        <v>1915.62</v>
      </c>
      <c r="I460" t="s">
        <v>650</v>
      </c>
      <c r="K460" t="str">
        <f t="shared" si="9"/>
        <v>No</v>
      </c>
    </row>
    <row r="461" spans="3:11" x14ac:dyDescent="0.3">
      <c r="C461">
        <v>437</v>
      </c>
      <c r="D461">
        <v>3394.33</v>
      </c>
      <c r="E461" t="s">
        <v>650</v>
      </c>
      <c r="F461">
        <v>3246.53</v>
      </c>
      <c r="G461" t="s">
        <v>650</v>
      </c>
      <c r="H461">
        <v>4541.7700000000004</v>
      </c>
      <c r="I461" t="s">
        <v>650</v>
      </c>
      <c r="K461" t="str">
        <f t="shared" si="9"/>
        <v>No</v>
      </c>
    </row>
    <row r="462" spans="3:11" x14ac:dyDescent="0.3">
      <c r="C462">
        <v>438</v>
      </c>
      <c r="D462">
        <v>3991.97</v>
      </c>
      <c r="E462" t="s">
        <v>650</v>
      </c>
      <c r="F462">
        <v>1882.86</v>
      </c>
      <c r="G462" t="s">
        <v>650</v>
      </c>
      <c r="H462">
        <v>3582.8</v>
      </c>
      <c r="I462" t="s">
        <v>650</v>
      </c>
      <c r="K462" t="str">
        <f t="shared" si="9"/>
        <v>No</v>
      </c>
    </row>
    <row r="463" spans="3:11" x14ac:dyDescent="0.3">
      <c r="C463">
        <v>439</v>
      </c>
      <c r="D463">
        <v>2896.42</v>
      </c>
      <c r="E463" t="s">
        <v>650</v>
      </c>
      <c r="F463">
        <v>1518.5</v>
      </c>
      <c r="G463" t="s">
        <v>650</v>
      </c>
      <c r="H463">
        <v>4254.33</v>
      </c>
      <c r="I463" t="s">
        <v>650</v>
      </c>
      <c r="K463" t="str">
        <f t="shared" si="9"/>
        <v>No</v>
      </c>
    </row>
    <row r="464" spans="3:11" x14ac:dyDescent="0.3">
      <c r="C464">
        <v>440</v>
      </c>
      <c r="D464">
        <v>2209.2600000000002</v>
      </c>
      <c r="E464" t="s">
        <v>650</v>
      </c>
      <c r="F464">
        <v>2343.4699999999998</v>
      </c>
      <c r="G464" t="s">
        <v>650</v>
      </c>
      <c r="H464">
        <v>3489.67</v>
      </c>
      <c r="I464" t="s">
        <v>650</v>
      </c>
      <c r="K464" t="str">
        <f t="shared" si="9"/>
        <v>No</v>
      </c>
    </row>
    <row r="465" spans="3:11" x14ac:dyDescent="0.3">
      <c r="C465">
        <v>441</v>
      </c>
      <c r="D465">
        <v>2820.8</v>
      </c>
      <c r="E465" t="s">
        <v>650</v>
      </c>
      <c r="F465">
        <v>3164.16</v>
      </c>
      <c r="G465" t="s">
        <v>650</v>
      </c>
      <c r="H465">
        <v>2184.41</v>
      </c>
      <c r="I465" t="s">
        <v>650</v>
      </c>
      <c r="K465" t="str">
        <f t="shared" si="9"/>
        <v>No</v>
      </c>
    </row>
    <row r="466" spans="3:11" x14ac:dyDescent="0.3">
      <c r="C466">
        <v>442</v>
      </c>
      <c r="D466">
        <v>4180.78</v>
      </c>
      <c r="E466" t="s">
        <v>650</v>
      </c>
      <c r="F466">
        <v>1716.38</v>
      </c>
      <c r="G466" t="s">
        <v>650</v>
      </c>
      <c r="H466">
        <v>4642.32</v>
      </c>
      <c r="I466" t="s">
        <v>650</v>
      </c>
      <c r="K466" t="str">
        <f t="shared" si="9"/>
        <v>No</v>
      </c>
    </row>
    <row r="467" spans="3:11" x14ac:dyDescent="0.3">
      <c r="C467">
        <v>443</v>
      </c>
      <c r="D467">
        <v>2153.9699999999998</v>
      </c>
      <c r="E467" t="s">
        <v>650</v>
      </c>
      <c r="F467">
        <v>2721.01</v>
      </c>
      <c r="G467" t="s">
        <v>650</v>
      </c>
      <c r="H467">
        <v>3661.31</v>
      </c>
      <c r="I467" t="s">
        <v>650</v>
      </c>
      <c r="K467" t="str">
        <f t="shared" si="9"/>
        <v>No</v>
      </c>
    </row>
    <row r="468" spans="3:11" x14ac:dyDescent="0.3">
      <c r="C468">
        <v>444</v>
      </c>
      <c r="D468">
        <v>2560.66</v>
      </c>
      <c r="E468" t="s">
        <v>650</v>
      </c>
      <c r="F468">
        <v>3742.96</v>
      </c>
      <c r="G468" t="s">
        <v>650</v>
      </c>
      <c r="H468">
        <v>2995.26</v>
      </c>
      <c r="I468" t="s">
        <v>650</v>
      </c>
      <c r="K468" t="str">
        <f t="shared" si="9"/>
        <v>No</v>
      </c>
    </row>
    <row r="469" spans="3:11" x14ac:dyDescent="0.3">
      <c r="C469">
        <v>445</v>
      </c>
      <c r="D469">
        <v>3210.56</v>
      </c>
      <c r="E469" t="s">
        <v>650</v>
      </c>
      <c r="F469">
        <v>3293.71</v>
      </c>
      <c r="G469" t="s">
        <v>650</v>
      </c>
      <c r="H469">
        <v>3528.96</v>
      </c>
      <c r="I469" t="s">
        <v>650</v>
      </c>
      <c r="K469" t="str">
        <f t="shared" si="9"/>
        <v>No</v>
      </c>
    </row>
    <row r="470" spans="3:11" x14ac:dyDescent="0.3">
      <c r="C470">
        <v>446</v>
      </c>
      <c r="D470">
        <v>2771.31</v>
      </c>
      <c r="E470" t="s">
        <v>650</v>
      </c>
      <c r="F470">
        <v>3789.33</v>
      </c>
      <c r="G470" t="s">
        <v>650</v>
      </c>
      <c r="H470">
        <v>3537.28</v>
      </c>
      <c r="I470" t="s">
        <v>650</v>
      </c>
      <c r="K470" t="str">
        <f t="shared" si="9"/>
        <v>No</v>
      </c>
    </row>
    <row r="471" spans="3:11" x14ac:dyDescent="0.3">
      <c r="C471">
        <v>447</v>
      </c>
      <c r="D471">
        <v>2654.61</v>
      </c>
      <c r="E471" t="s">
        <v>650</v>
      </c>
      <c r="F471">
        <v>4136.33</v>
      </c>
      <c r="G471" t="s">
        <v>650</v>
      </c>
      <c r="H471">
        <v>3942.98</v>
      </c>
      <c r="I471" t="s">
        <v>650</v>
      </c>
      <c r="K471" t="str">
        <f t="shared" si="9"/>
        <v>No</v>
      </c>
    </row>
    <row r="472" spans="3:11" x14ac:dyDescent="0.3">
      <c r="C472">
        <v>448</v>
      </c>
      <c r="D472">
        <v>3545.14</v>
      </c>
      <c r="E472" t="s">
        <v>650</v>
      </c>
      <c r="F472">
        <v>3476.03</v>
      </c>
      <c r="G472" t="s">
        <v>650</v>
      </c>
      <c r="H472">
        <v>3329.14</v>
      </c>
      <c r="I472" t="s">
        <v>650</v>
      </c>
      <c r="K472" t="str">
        <f t="shared" si="9"/>
        <v>No</v>
      </c>
    </row>
    <row r="473" spans="3:11" x14ac:dyDescent="0.3">
      <c r="C473">
        <v>449</v>
      </c>
      <c r="D473">
        <v>2818.25</v>
      </c>
      <c r="E473" t="s">
        <v>650</v>
      </c>
      <c r="F473">
        <v>2632.9</v>
      </c>
      <c r="G473" t="s">
        <v>650</v>
      </c>
      <c r="H473">
        <v>4410.43</v>
      </c>
      <c r="I473" t="s">
        <v>650</v>
      </c>
      <c r="K473" t="str">
        <f t="shared" ref="K473:K536" si="10">IF(AND(E473="No",G473="No",I473="No"),"No","Yes")</f>
        <v>No</v>
      </c>
    </row>
    <row r="474" spans="3:11" x14ac:dyDescent="0.3">
      <c r="C474">
        <v>450</v>
      </c>
      <c r="D474">
        <v>2363.92</v>
      </c>
      <c r="E474" t="s">
        <v>650</v>
      </c>
      <c r="F474">
        <v>2375.37</v>
      </c>
      <c r="G474" t="s">
        <v>650</v>
      </c>
      <c r="H474">
        <v>4566.41</v>
      </c>
      <c r="I474" t="s">
        <v>650</v>
      </c>
      <c r="K474" t="str">
        <f t="shared" si="10"/>
        <v>No</v>
      </c>
    </row>
    <row r="475" spans="3:11" x14ac:dyDescent="0.3">
      <c r="C475">
        <v>451</v>
      </c>
      <c r="D475">
        <v>2425.96</v>
      </c>
      <c r="E475" t="s">
        <v>650</v>
      </c>
      <c r="F475">
        <v>2489.94</v>
      </c>
      <c r="G475" t="s">
        <v>650</v>
      </c>
      <c r="H475">
        <v>2826.56</v>
      </c>
      <c r="I475" t="s">
        <v>650</v>
      </c>
      <c r="K475" t="str">
        <f t="shared" si="10"/>
        <v>No</v>
      </c>
    </row>
    <row r="476" spans="3:11" x14ac:dyDescent="0.3">
      <c r="C476">
        <v>452</v>
      </c>
      <c r="D476">
        <v>2603.67</v>
      </c>
      <c r="E476" t="s">
        <v>650</v>
      </c>
      <c r="F476">
        <v>3539.82</v>
      </c>
      <c r="G476" t="s">
        <v>650</v>
      </c>
      <c r="H476">
        <v>3406.84</v>
      </c>
      <c r="I476" t="s">
        <v>650</v>
      </c>
      <c r="K476" t="str">
        <f t="shared" si="10"/>
        <v>No</v>
      </c>
    </row>
    <row r="477" spans="3:11" x14ac:dyDescent="0.3">
      <c r="C477">
        <v>453</v>
      </c>
      <c r="D477">
        <v>3079.92</v>
      </c>
      <c r="E477" t="s">
        <v>650</v>
      </c>
      <c r="F477">
        <v>2369.5</v>
      </c>
      <c r="G477" t="s">
        <v>650</v>
      </c>
      <c r="H477">
        <v>2660.69</v>
      </c>
      <c r="I477" t="s">
        <v>650</v>
      </c>
      <c r="K477" t="str">
        <f t="shared" si="10"/>
        <v>No</v>
      </c>
    </row>
    <row r="478" spans="3:11" x14ac:dyDescent="0.3">
      <c r="C478">
        <v>454</v>
      </c>
      <c r="D478">
        <v>3800.59</v>
      </c>
      <c r="E478" t="s">
        <v>650</v>
      </c>
      <c r="F478">
        <v>5278.82</v>
      </c>
      <c r="G478" t="s">
        <v>650</v>
      </c>
      <c r="H478">
        <v>4679.6499999999996</v>
      </c>
      <c r="I478" t="s">
        <v>650</v>
      </c>
      <c r="K478" t="str">
        <f t="shared" si="10"/>
        <v>No</v>
      </c>
    </row>
    <row r="479" spans="3:11" x14ac:dyDescent="0.3">
      <c r="C479">
        <v>455</v>
      </c>
      <c r="D479">
        <v>2029.68</v>
      </c>
      <c r="E479" t="s">
        <v>650</v>
      </c>
      <c r="F479">
        <v>3093.5</v>
      </c>
      <c r="G479" t="s">
        <v>650</v>
      </c>
      <c r="H479">
        <v>3346.14</v>
      </c>
      <c r="I479" t="s">
        <v>650</v>
      </c>
      <c r="K479" t="str">
        <f t="shared" si="10"/>
        <v>No</v>
      </c>
    </row>
    <row r="480" spans="3:11" x14ac:dyDescent="0.3">
      <c r="C480">
        <v>456</v>
      </c>
      <c r="D480">
        <v>1973.39</v>
      </c>
      <c r="E480" t="s">
        <v>650</v>
      </c>
      <c r="F480">
        <v>3785.22</v>
      </c>
      <c r="G480" t="s">
        <v>650</v>
      </c>
      <c r="H480">
        <v>3698.58</v>
      </c>
      <c r="I480" t="s">
        <v>650</v>
      </c>
      <c r="K480" t="str">
        <f t="shared" si="10"/>
        <v>No</v>
      </c>
    </row>
    <row r="481" spans="3:11" x14ac:dyDescent="0.3">
      <c r="C481">
        <v>457</v>
      </c>
      <c r="D481">
        <v>2521.94</v>
      </c>
      <c r="E481" t="s">
        <v>650</v>
      </c>
      <c r="F481">
        <v>2816.03</v>
      </c>
      <c r="G481" t="s">
        <v>650</v>
      </c>
      <c r="H481">
        <v>3021.33</v>
      </c>
      <c r="I481" t="s">
        <v>650</v>
      </c>
      <c r="K481" t="str">
        <f t="shared" si="10"/>
        <v>No</v>
      </c>
    </row>
    <row r="482" spans="3:11" x14ac:dyDescent="0.3">
      <c r="C482">
        <v>458</v>
      </c>
      <c r="D482">
        <v>2733.9</v>
      </c>
      <c r="E482" t="s">
        <v>650</v>
      </c>
      <c r="F482">
        <v>2022.91</v>
      </c>
      <c r="G482" t="s">
        <v>650</v>
      </c>
      <c r="H482">
        <v>3474.16</v>
      </c>
      <c r="I482" t="s">
        <v>650</v>
      </c>
      <c r="K482" t="str">
        <f t="shared" si="10"/>
        <v>No</v>
      </c>
    </row>
    <row r="483" spans="3:11" x14ac:dyDescent="0.3">
      <c r="C483">
        <v>459</v>
      </c>
      <c r="D483">
        <v>3241.09</v>
      </c>
      <c r="E483" t="s">
        <v>650</v>
      </c>
      <c r="F483">
        <v>3116.3</v>
      </c>
      <c r="G483" t="s">
        <v>650</v>
      </c>
      <c r="H483">
        <v>4634.54</v>
      </c>
      <c r="I483" t="s">
        <v>650</v>
      </c>
      <c r="K483" t="str">
        <f t="shared" si="10"/>
        <v>No</v>
      </c>
    </row>
    <row r="484" spans="3:11" x14ac:dyDescent="0.3">
      <c r="C484">
        <v>460</v>
      </c>
      <c r="D484">
        <v>2639.03</v>
      </c>
      <c r="E484" t="s">
        <v>650</v>
      </c>
      <c r="F484">
        <v>4770.88</v>
      </c>
      <c r="G484" t="s">
        <v>650</v>
      </c>
      <c r="H484">
        <v>3941.9</v>
      </c>
      <c r="I484" t="s">
        <v>650</v>
      </c>
      <c r="K484" t="str">
        <f t="shared" si="10"/>
        <v>No</v>
      </c>
    </row>
    <row r="485" spans="3:11" x14ac:dyDescent="0.3">
      <c r="C485">
        <v>461</v>
      </c>
      <c r="D485">
        <v>3426.74</v>
      </c>
      <c r="E485" t="s">
        <v>650</v>
      </c>
      <c r="F485">
        <v>3652.02</v>
      </c>
      <c r="G485" t="s">
        <v>650</v>
      </c>
      <c r="H485">
        <v>2694.13</v>
      </c>
      <c r="I485" t="s">
        <v>650</v>
      </c>
      <c r="K485" t="str">
        <f t="shared" si="10"/>
        <v>No</v>
      </c>
    </row>
    <row r="486" spans="3:11" x14ac:dyDescent="0.3">
      <c r="C486">
        <v>462</v>
      </c>
      <c r="D486">
        <v>1878.99</v>
      </c>
      <c r="E486" t="s">
        <v>650</v>
      </c>
      <c r="F486">
        <v>3872.04</v>
      </c>
      <c r="G486" t="s">
        <v>650</v>
      </c>
      <c r="H486">
        <v>1914.41</v>
      </c>
      <c r="I486" t="s">
        <v>650</v>
      </c>
      <c r="K486" t="str">
        <f t="shared" si="10"/>
        <v>No</v>
      </c>
    </row>
    <row r="487" spans="3:11" x14ac:dyDescent="0.3">
      <c r="C487">
        <v>463</v>
      </c>
      <c r="D487">
        <v>2976.71</v>
      </c>
      <c r="E487" t="s">
        <v>650</v>
      </c>
      <c r="F487">
        <v>2501.9499999999998</v>
      </c>
      <c r="G487" t="s">
        <v>650</v>
      </c>
      <c r="H487">
        <v>3505.04</v>
      </c>
      <c r="I487" t="s">
        <v>650</v>
      </c>
      <c r="K487" t="str">
        <f t="shared" si="10"/>
        <v>No</v>
      </c>
    </row>
    <row r="488" spans="3:11" x14ac:dyDescent="0.3">
      <c r="C488">
        <v>464</v>
      </c>
      <c r="D488">
        <v>1484.35</v>
      </c>
      <c r="E488" t="s">
        <v>650</v>
      </c>
      <c r="F488">
        <v>2341.56</v>
      </c>
      <c r="G488" t="s">
        <v>650</v>
      </c>
      <c r="H488">
        <v>2624.97</v>
      </c>
      <c r="I488" t="s">
        <v>650</v>
      </c>
      <c r="K488" t="str">
        <f t="shared" si="10"/>
        <v>No</v>
      </c>
    </row>
    <row r="489" spans="3:11" x14ac:dyDescent="0.3">
      <c r="C489">
        <v>465</v>
      </c>
      <c r="D489">
        <v>3701.57</v>
      </c>
      <c r="E489" t="s">
        <v>650</v>
      </c>
      <c r="F489">
        <v>3788.27</v>
      </c>
      <c r="G489" t="s">
        <v>650</v>
      </c>
      <c r="H489">
        <v>4003.78</v>
      </c>
      <c r="I489" t="s">
        <v>650</v>
      </c>
      <c r="K489" t="str">
        <f t="shared" si="10"/>
        <v>No</v>
      </c>
    </row>
    <row r="490" spans="3:11" x14ac:dyDescent="0.3">
      <c r="C490">
        <v>466</v>
      </c>
      <c r="D490">
        <v>3334.92</v>
      </c>
      <c r="E490" t="s">
        <v>650</v>
      </c>
      <c r="F490">
        <v>1364.58</v>
      </c>
      <c r="G490" t="s">
        <v>650</v>
      </c>
      <c r="H490">
        <v>3376.63</v>
      </c>
      <c r="I490" t="s">
        <v>650</v>
      </c>
      <c r="K490" t="str">
        <f t="shared" si="10"/>
        <v>No</v>
      </c>
    </row>
    <row r="491" spans="3:11" x14ac:dyDescent="0.3">
      <c r="C491">
        <v>467</v>
      </c>
      <c r="D491">
        <v>3963.53</v>
      </c>
      <c r="E491" t="s">
        <v>650</v>
      </c>
      <c r="F491">
        <v>3127.21</v>
      </c>
      <c r="G491" t="s">
        <v>650</v>
      </c>
      <c r="H491">
        <v>2509.8200000000002</v>
      </c>
      <c r="I491" t="s">
        <v>650</v>
      </c>
      <c r="K491" t="str">
        <f t="shared" si="10"/>
        <v>No</v>
      </c>
    </row>
    <row r="492" spans="3:11" x14ac:dyDescent="0.3">
      <c r="C492">
        <v>468</v>
      </c>
      <c r="D492">
        <v>3395.98</v>
      </c>
      <c r="E492" t="s">
        <v>650</v>
      </c>
      <c r="F492">
        <v>2028.91</v>
      </c>
      <c r="G492" t="s">
        <v>650</v>
      </c>
      <c r="H492">
        <v>2912.85</v>
      </c>
      <c r="I492" t="s">
        <v>650</v>
      </c>
      <c r="K492" t="str">
        <f t="shared" si="10"/>
        <v>No</v>
      </c>
    </row>
    <row r="493" spans="3:11" x14ac:dyDescent="0.3">
      <c r="C493">
        <v>469</v>
      </c>
      <c r="D493">
        <v>3678.75</v>
      </c>
      <c r="E493" t="s">
        <v>650</v>
      </c>
      <c r="F493">
        <v>3066.46</v>
      </c>
      <c r="G493" t="s">
        <v>650</v>
      </c>
      <c r="H493">
        <v>2860.73</v>
      </c>
      <c r="I493" t="s">
        <v>650</v>
      </c>
      <c r="K493" t="str">
        <f t="shared" si="10"/>
        <v>No</v>
      </c>
    </row>
    <row r="494" spans="3:11" x14ac:dyDescent="0.3">
      <c r="C494">
        <v>470</v>
      </c>
      <c r="D494">
        <v>1938.58</v>
      </c>
      <c r="E494" t="s">
        <v>650</v>
      </c>
      <c r="F494">
        <v>3271.25</v>
      </c>
      <c r="G494" t="s">
        <v>650</v>
      </c>
      <c r="H494">
        <v>4205.9799999999996</v>
      </c>
      <c r="I494" t="s">
        <v>650</v>
      </c>
      <c r="K494" t="str">
        <f t="shared" si="10"/>
        <v>No</v>
      </c>
    </row>
    <row r="495" spans="3:11" x14ac:dyDescent="0.3">
      <c r="C495">
        <v>471</v>
      </c>
      <c r="D495">
        <v>2296.8200000000002</v>
      </c>
      <c r="E495" t="s">
        <v>650</v>
      </c>
      <c r="F495">
        <v>2382.86</v>
      </c>
      <c r="G495" t="s">
        <v>650</v>
      </c>
      <c r="H495">
        <v>3555.6</v>
      </c>
      <c r="I495" t="s">
        <v>650</v>
      </c>
      <c r="K495" t="str">
        <f t="shared" si="10"/>
        <v>No</v>
      </c>
    </row>
    <row r="496" spans="3:11" x14ac:dyDescent="0.3">
      <c r="C496">
        <v>472</v>
      </c>
      <c r="D496">
        <v>2801.01</v>
      </c>
      <c r="E496" t="s">
        <v>650</v>
      </c>
      <c r="F496">
        <v>2448.39</v>
      </c>
      <c r="G496" t="s">
        <v>650</v>
      </c>
      <c r="H496">
        <v>4446.63</v>
      </c>
      <c r="I496" t="s">
        <v>650</v>
      </c>
      <c r="K496" t="str">
        <f t="shared" si="10"/>
        <v>No</v>
      </c>
    </row>
    <row r="497" spans="3:11" x14ac:dyDescent="0.3">
      <c r="C497">
        <v>473</v>
      </c>
      <c r="D497">
        <v>2989.71</v>
      </c>
      <c r="E497" t="s">
        <v>650</v>
      </c>
      <c r="F497">
        <v>2874.19</v>
      </c>
      <c r="G497" t="s">
        <v>650</v>
      </c>
      <c r="H497">
        <v>3933.88</v>
      </c>
      <c r="I497" t="s">
        <v>650</v>
      </c>
      <c r="K497" t="str">
        <f t="shared" si="10"/>
        <v>No</v>
      </c>
    </row>
    <row r="498" spans="3:11" x14ac:dyDescent="0.3">
      <c r="C498">
        <v>474</v>
      </c>
      <c r="D498">
        <v>2151.6</v>
      </c>
      <c r="E498" t="s">
        <v>650</v>
      </c>
      <c r="F498">
        <v>2047.77</v>
      </c>
      <c r="G498" t="s">
        <v>650</v>
      </c>
      <c r="H498">
        <v>3810.43</v>
      </c>
      <c r="I498" t="s">
        <v>650</v>
      </c>
      <c r="K498" t="str">
        <f t="shared" si="10"/>
        <v>No</v>
      </c>
    </row>
    <row r="499" spans="3:11" x14ac:dyDescent="0.3">
      <c r="C499">
        <v>475</v>
      </c>
      <c r="D499">
        <v>2432.6799999999998</v>
      </c>
      <c r="E499" t="s">
        <v>650</v>
      </c>
      <c r="F499">
        <v>2804.19</v>
      </c>
      <c r="G499" t="s">
        <v>650</v>
      </c>
      <c r="H499">
        <v>1486.05</v>
      </c>
      <c r="I499" t="s">
        <v>650</v>
      </c>
      <c r="K499" t="str">
        <f t="shared" si="10"/>
        <v>No</v>
      </c>
    </row>
    <row r="500" spans="3:11" x14ac:dyDescent="0.3">
      <c r="C500">
        <v>476</v>
      </c>
      <c r="D500">
        <v>2849.86</v>
      </c>
      <c r="E500" t="s">
        <v>650</v>
      </c>
      <c r="F500">
        <v>1412.72</v>
      </c>
      <c r="G500" t="s">
        <v>650</v>
      </c>
      <c r="H500">
        <v>2794.65</v>
      </c>
      <c r="I500" t="s">
        <v>650</v>
      </c>
      <c r="K500" t="str">
        <f t="shared" si="10"/>
        <v>No</v>
      </c>
    </row>
    <row r="501" spans="3:11" x14ac:dyDescent="0.3">
      <c r="C501">
        <v>477</v>
      </c>
      <c r="D501">
        <v>2676.75</v>
      </c>
      <c r="E501" t="s">
        <v>650</v>
      </c>
      <c r="F501">
        <v>2756.75</v>
      </c>
      <c r="G501" t="s">
        <v>650</v>
      </c>
      <c r="H501">
        <v>4316</v>
      </c>
      <c r="I501" t="s">
        <v>650</v>
      </c>
      <c r="K501" t="str">
        <f t="shared" si="10"/>
        <v>No</v>
      </c>
    </row>
    <row r="502" spans="3:11" x14ac:dyDescent="0.3">
      <c r="C502">
        <v>478</v>
      </c>
      <c r="D502">
        <v>2578.1999999999998</v>
      </c>
      <c r="E502" t="s">
        <v>650</v>
      </c>
      <c r="F502">
        <v>2675.59</v>
      </c>
      <c r="G502" t="s">
        <v>650</v>
      </c>
      <c r="H502">
        <v>3445.84</v>
      </c>
      <c r="I502" t="s">
        <v>650</v>
      </c>
      <c r="K502" t="str">
        <f t="shared" si="10"/>
        <v>No</v>
      </c>
    </row>
    <row r="503" spans="3:11" x14ac:dyDescent="0.3">
      <c r="C503">
        <v>479</v>
      </c>
      <c r="D503">
        <v>1617</v>
      </c>
      <c r="E503" t="s">
        <v>650</v>
      </c>
      <c r="F503">
        <v>3321.94</v>
      </c>
      <c r="G503" t="s">
        <v>650</v>
      </c>
      <c r="H503">
        <v>2605.56</v>
      </c>
      <c r="I503" t="s">
        <v>650</v>
      </c>
      <c r="K503" t="str">
        <f t="shared" si="10"/>
        <v>No</v>
      </c>
    </row>
    <row r="504" spans="3:11" x14ac:dyDescent="0.3">
      <c r="C504">
        <v>480</v>
      </c>
      <c r="D504">
        <v>4023.89</v>
      </c>
      <c r="E504" t="s">
        <v>650</v>
      </c>
      <c r="F504">
        <v>4103</v>
      </c>
      <c r="G504" t="s">
        <v>650</v>
      </c>
      <c r="H504">
        <v>3877.11</v>
      </c>
      <c r="I504" t="s">
        <v>650</v>
      </c>
      <c r="K504" t="str">
        <f t="shared" si="10"/>
        <v>No</v>
      </c>
    </row>
    <row r="505" spans="3:11" x14ac:dyDescent="0.3">
      <c r="C505">
        <v>481</v>
      </c>
      <c r="D505">
        <v>3872.26</v>
      </c>
      <c r="E505" t="s">
        <v>650</v>
      </c>
      <c r="F505">
        <v>1786.45</v>
      </c>
      <c r="G505" t="s">
        <v>650</v>
      </c>
      <c r="H505">
        <v>4089.6</v>
      </c>
      <c r="I505" t="s">
        <v>650</v>
      </c>
      <c r="K505" t="str">
        <f t="shared" si="10"/>
        <v>No</v>
      </c>
    </row>
    <row r="506" spans="3:11" x14ac:dyDescent="0.3">
      <c r="C506">
        <v>482</v>
      </c>
      <c r="D506">
        <v>2011.24</v>
      </c>
      <c r="E506" t="s">
        <v>650</v>
      </c>
      <c r="F506">
        <v>3144.43</v>
      </c>
      <c r="G506" t="s">
        <v>650</v>
      </c>
      <c r="H506">
        <v>3729.74</v>
      </c>
      <c r="I506" t="s">
        <v>650</v>
      </c>
      <c r="K506" t="str">
        <f t="shared" si="10"/>
        <v>No</v>
      </c>
    </row>
    <row r="507" spans="3:11" x14ac:dyDescent="0.3">
      <c r="C507">
        <v>483</v>
      </c>
      <c r="D507">
        <v>3134.59</v>
      </c>
      <c r="E507" t="s">
        <v>650</v>
      </c>
      <c r="F507">
        <v>2861.29</v>
      </c>
      <c r="G507" t="s">
        <v>650</v>
      </c>
      <c r="H507">
        <v>3692.75</v>
      </c>
      <c r="I507" t="s">
        <v>650</v>
      </c>
      <c r="K507" t="str">
        <f t="shared" si="10"/>
        <v>No</v>
      </c>
    </row>
    <row r="508" spans="3:11" x14ac:dyDescent="0.3">
      <c r="C508">
        <v>484</v>
      </c>
      <c r="D508">
        <v>2366.94</v>
      </c>
      <c r="E508" t="s">
        <v>650</v>
      </c>
      <c r="F508">
        <v>3801.5</v>
      </c>
      <c r="G508" t="s">
        <v>650</v>
      </c>
      <c r="H508">
        <v>2968.96</v>
      </c>
      <c r="I508" t="s">
        <v>650</v>
      </c>
      <c r="K508" t="str">
        <f t="shared" si="10"/>
        <v>No</v>
      </c>
    </row>
    <row r="509" spans="3:11" x14ac:dyDescent="0.3">
      <c r="C509">
        <v>485</v>
      </c>
      <c r="D509">
        <v>2521.0100000000002</v>
      </c>
      <c r="E509" t="s">
        <v>650</v>
      </c>
      <c r="F509">
        <v>1272.5899999999999</v>
      </c>
      <c r="G509" t="s">
        <v>650</v>
      </c>
      <c r="H509">
        <v>3651.83</v>
      </c>
      <c r="I509" t="s">
        <v>650</v>
      </c>
      <c r="K509" t="str">
        <f t="shared" si="10"/>
        <v>No</v>
      </c>
    </row>
    <row r="510" spans="3:11" x14ac:dyDescent="0.3">
      <c r="C510">
        <v>486</v>
      </c>
      <c r="D510">
        <v>2954.47</v>
      </c>
      <c r="E510" t="s">
        <v>650</v>
      </c>
      <c r="F510">
        <v>3837.85</v>
      </c>
      <c r="G510" t="s">
        <v>650</v>
      </c>
      <c r="H510">
        <v>3381.38</v>
      </c>
      <c r="I510" t="s">
        <v>650</v>
      </c>
      <c r="K510" t="str">
        <f t="shared" si="10"/>
        <v>No</v>
      </c>
    </row>
    <row r="511" spans="3:11" x14ac:dyDescent="0.3">
      <c r="C511">
        <v>487</v>
      </c>
      <c r="D511">
        <v>4085.71</v>
      </c>
      <c r="E511" t="s">
        <v>650</v>
      </c>
      <c r="F511">
        <v>4113.7299999999996</v>
      </c>
      <c r="G511" t="s">
        <v>650</v>
      </c>
      <c r="H511">
        <v>2690.6</v>
      </c>
      <c r="I511" t="s">
        <v>650</v>
      </c>
      <c r="K511" t="str">
        <f t="shared" si="10"/>
        <v>No</v>
      </c>
    </row>
    <row r="512" spans="3:11" x14ac:dyDescent="0.3">
      <c r="C512">
        <v>488</v>
      </c>
      <c r="D512">
        <v>2446.4499999999998</v>
      </c>
      <c r="E512" t="s">
        <v>650</v>
      </c>
      <c r="F512">
        <v>2625.48</v>
      </c>
      <c r="G512" t="s">
        <v>650</v>
      </c>
      <c r="H512">
        <v>1854.82</v>
      </c>
      <c r="I512" t="s">
        <v>650</v>
      </c>
      <c r="K512" t="str">
        <f t="shared" si="10"/>
        <v>No</v>
      </c>
    </row>
    <row r="513" spans="3:11" x14ac:dyDescent="0.3">
      <c r="C513">
        <v>489</v>
      </c>
      <c r="D513">
        <v>2962.31</v>
      </c>
      <c r="E513" t="s">
        <v>650</v>
      </c>
      <c r="F513">
        <v>2785.01</v>
      </c>
      <c r="G513" t="s">
        <v>650</v>
      </c>
      <c r="H513">
        <v>4205.58</v>
      </c>
      <c r="I513" t="s">
        <v>650</v>
      </c>
      <c r="K513" t="str">
        <f t="shared" si="10"/>
        <v>No</v>
      </c>
    </row>
    <row r="514" spans="3:11" x14ac:dyDescent="0.3">
      <c r="C514">
        <v>490</v>
      </c>
      <c r="D514">
        <v>3314.14</v>
      </c>
      <c r="E514" t="s">
        <v>650</v>
      </c>
      <c r="F514">
        <v>3034.77</v>
      </c>
      <c r="G514" t="s">
        <v>650</v>
      </c>
      <c r="H514">
        <v>2929.49</v>
      </c>
      <c r="I514" t="s">
        <v>650</v>
      </c>
      <c r="K514" t="str">
        <f t="shared" si="10"/>
        <v>No</v>
      </c>
    </row>
    <row r="515" spans="3:11" x14ac:dyDescent="0.3">
      <c r="C515">
        <v>491</v>
      </c>
      <c r="D515">
        <v>3241.02</v>
      </c>
      <c r="E515" t="s">
        <v>650</v>
      </c>
      <c r="F515">
        <v>2898.11</v>
      </c>
      <c r="G515" t="s">
        <v>650</v>
      </c>
      <c r="H515">
        <v>3089.53</v>
      </c>
      <c r="I515" t="s">
        <v>650</v>
      </c>
      <c r="K515" t="str">
        <f t="shared" si="10"/>
        <v>No</v>
      </c>
    </row>
    <row r="516" spans="3:11" x14ac:dyDescent="0.3">
      <c r="C516">
        <v>492</v>
      </c>
      <c r="D516">
        <v>3816.43</v>
      </c>
      <c r="E516" t="s">
        <v>650</v>
      </c>
      <c r="F516">
        <v>2682.76</v>
      </c>
      <c r="G516" t="s">
        <v>650</v>
      </c>
      <c r="H516">
        <v>3755.57</v>
      </c>
      <c r="I516" t="s">
        <v>650</v>
      </c>
      <c r="K516" t="str">
        <f t="shared" si="10"/>
        <v>No</v>
      </c>
    </row>
    <row r="517" spans="3:11" x14ac:dyDescent="0.3">
      <c r="C517">
        <v>493</v>
      </c>
      <c r="D517">
        <v>2347.0300000000002</v>
      </c>
      <c r="E517" t="s">
        <v>650</v>
      </c>
      <c r="F517">
        <v>2754.36</v>
      </c>
      <c r="G517" t="s">
        <v>650</v>
      </c>
      <c r="H517">
        <v>4090.9</v>
      </c>
      <c r="I517" t="s">
        <v>650</v>
      </c>
      <c r="K517" t="str">
        <f t="shared" si="10"/>
        <v>No</v>
      </c>
    </row>
    <row r="518" spans="3:11" x14ac:dyDescent="0.3">
      <c r="C518">
        <v>494</v>
      </c>
      <c r="D518">
        <v>2458.5100000000002</v>
      </c>
      <c r="E518" t="s">
        <v>650</v>
      </c>
      <c r="F518">
        <v>2569.3000000000002</v>
      </c>
      <c r="G518" t="s">
        <v>650</v>
      </c>
      <c r="H518">
        <v>2999.8</v>
      </c>
      <c r="I518" t="s">
        <v>650</v>
      </c>
      <c r="K518" t="str">
        <f t="shared" si="10"/>
        <v>No</v>
      </c>
    </row>
    <row r="519" spans="3:11" x14ac:dyDescent="0.3">
      <c r="C519">
        <v>495</v>
      </c>
      <c r="D519">
        <v>3552.7</v>
      </c>
      <c r="E519" t="s">
        <v>650</v>
      </c>
      <c r="F519">
        <v>2326.7800000000002</v>
      </c>
      <c r="G519" t="s">
        <v>650</v>
      </c>
      <c r="H519">
        <v>3804.2</v>
      </c>
      <c r="I519" t="s">
        <v>650</v>
      </c>
      <c r="K519" t="str">
        <f t="shared" si="10"/>
        <v>No</v>
      </c>
    </row>
    <row r="520" spans="3:11" x14ac:dyDescent="0.3">
      <c r="C520">
        <v>496</v>
      </c>
      <c r="D520">
        <v>2392.1799999999998</v>
      </c>
      <c r="E520" t="s">
        <v>650</v>
      </c>
      <c r="F520">
        <v>3156.38</v>
      </c>
      <c r="G520" t="s">
        <v>650</v>
      </c>
      <c r="H520">
        <v>3268.68</v>
      </c>
      <c r="I520" t="s">
        <v>650</v>
      </c>
      <c r="K520" t="str">
        <f t="shared" si="10"/>
        <v>No</v>
      </c>
    </row>
    <row r="521" spans="3:11" x14ac:dyDescent="0.3">
      <c r="C521">
        <v>497</v>
      </c>
      <c r="D521">
        <v>3689.75</v>
      </c>
      <c r="E521" t="s">
        <v>650</v>
      </c>
      <c r="F521">
        <v>2863.02</v>
      </c>
      <c r="G521" t="s">
        <v>650</v>
      </c>
      <c r="H521">
        <v>2812</v>
      </c>
      <c r="I521" t="s">
        <v>650</v>
      </c>
      <c r="K521" t="str">
        <f t="shared" si="10"/>
        <v>No</v>
      </c>
    </row>
    <row r="522" spans="3:11" x14ac:dyDescent="0.3">
      <c r="C522">
        <v>498</v>
      </c>
      <c r="D522">
        <v>3624.8</v>
      </c>
      <c r="E522" t="s">
        <v>650</v>
      </c>
      <c r="F522">
        <v>3493.77</v>
      </c>
      <c r="G522" t="s">
        <v>650</v>
      </c>
      <c r="H522">
        <v>2918.72</v>
      </c>
      <c r="I522" t="s">
        <v>650</v>
      </c>
      <c r="K522" t="str">
        <f t="shared" si="10"/>
        <v>No</v>
      </c>
    </row>
    <row r="523" spans="3:11" x14ac:dyDescent="0.3">
      <c r="C523">
        <v>499</v>
      </c>
      <c r="D523">
        <v>2256.96</v>
      </c>
      <c r="E523" t="s">
        <v>650</v>
      </c>
      <c r="F523">
        <v>2585.27</v>
      </c>
      <c r="G523" t="s">
        <v>650</v>
      </c>
      <c r="H523">
        <v>2732.14</v>
      </c>
      <c r="I523" t="s">
        <v>650</v>
      </c>
      <c r="K523" t="str">
        <f t="shared" si="10"/>
        <v>No</v>
      </c>
    </row>
    <row r="524" spans="3:11" x14ac:dyDescent="0.3">
      <c r="C524">
        <v>500</v>
      </c>
      <c r="D524">
        <v>3342.31</v>
      </c>
      <c r="E524" t="s">
        <v>650</v>
      </c>
      <c r="F524">
        <v>2885.69</v>
      </c>
      <c r="G524" t="s">
        <v>650</v>
      </c>
      <c r="H524">
        <v>4110.78</v>
      </c>
      <c r="I524" t="s">
        <v>650</v>
      </c>
      <c r="K524" t="str">
        <f t="shared" si="10"/>
        <v>No</v>
      </c>
    </row>
    <row r="525" spans="3:11" x14ac:dyDescent="0.3">
      <c r="C525">
        <v>501</v>
      </c>
      <c r="D525">
        <v>3190.49</v>
      </c>
      <c r="E525" t="s">
        <v>650</v>
      </c>
      <c r="F525">
        <v>3925.95</v>
      </c>
      <c r="G525" t="s">
        <v>650</v>
      </c>
      <c r="H525">
        <v>3313.62</v>
      </c>
      <c r="I525" t="s">
        <v>650</v>
      </c>
      <c r="K525" t="str">
        <f t="shared" si="10"/>
        <v>No</v>
      </c>
    </row>
    <row r="526" spans="3:11" x14ac:dyDescent="0.3">
      <c r="C526">
        <v>502</v>
      </c>
      <c r="D526">
        <v>2525.64</v>
      </c>
      <c r="E526" t="s">
        <v>650</v>
      </c>
      <c r="F526">
        <v>2721.76</v>
      </c>
      <c r="G526" t="s">
        <v>650</v>
      </c>
      <c r="H526">
        <v>4522.13</v>
      </c>
      <c r="I526" t="s">
        <v>650</v>
      </c>
      <c r="K526" t="str">
        <f t="shared" si="10"/>
        <v>No</v>
      </c>
    </row>
    <row r="527" spans="3:11" x14ac:dyDescent="0.3">
      <c r="C527">
        <v>503</v>
      </c>
      <c r="D527">
        <v>2639.92</v>
      </c>
      <c r="E527" t="s">
        <v>650</v>
      </c>
      <c r="F527">
        <v>3168.23</v>
      </c>
      <c r="G527" t="s">
        <v>650</v>
      </c>
      <c r="H527">
        <v>2254.02</v>
      </c>
      <c r="I527" t="s">
        <v>650</v>
      </c>
      <c r="K527" t="str">
        <f t="shared" si="10"/>
        <v>No</v>
      </c>
    </row>
    <row r="528" spans="3:11" x14ac:dyDescent="0.3">
      <c r="C528">
        <v>504</v>
      </c>
      <c r="D528">
        <v>1648.94</v>
      </c>
      <c r="E528" t="s">
        <v>650</v>
      </c>
      <c r="F528">
        <v>2988.78</v>
      </c>
      <c r="G528" t="s">
        <v>650</v>
      </c>
      <c r="H528">
        <v>4117.16</v>
      </c>
      <c r="I528" t="s">
        <v>650</v>
      </c>
      <c r="K528" t="str">
        <f t="shared" si="10"/>
        <v>No</v>
      </c>
    </row>
    <row r="529" spans="3:11" x14ac:dyDescent="0.3">
      <c r="C529">
        <v>505</v>
      </c>
      <c r="D529">
        <v>2012.17</v>
      </c>
      <c r="E529" t="s">
        <v>650</v>
      </c>
      <c r="F529">
        <v>3737.34</v>
      </c>
      <c r="G529" t="s">
        <v>650</v>
      </c>
      <c r="H529">
        <v>1920.6</v>
      </c>
      <c r="I529" t="s">
        <v>650</v>
      </c>
      <c r="K529" t="str">
        <f t="shared" si="10"/>
        <v>No</v>
      </c>
    </row>
    <row r="530" spans="3:11" x14ac:dyDescent="0.3">
      <c r="C530">
        <v>506</v>
      </c>
      <c r="D530">
        <v>3636.86</v>
      </c>
      <c r="E530" t="s">
        <v>650</v>
      </c>
      <c r="F530">
        <v>3326.04</v>
      </c>
      <c r="G530" t="s">
        <v>650</v>
      </c>
      <c r="H530">
        <v>1610.85</v>
      </c>
      <c r="I530" t="s">
        <v>650</v>
      </c>
      <c r="K530" t="str">
        <f t="shared" si="10"/>
        <v>No</v>
      </c>
    </row>
    <row r="531" spans="3:11" x14ac:dyDescent="0.3">
      <c r="C531">
        <v>507</v>
      </c>
      <c r="D531">
        <v>2736.24</v>
      </c>
      <c r="E531" t="s">
        <v>650</v>
      </c>
      <c r="F531">
        <v>3409.34</v>
      </c>
      <c r="G531" t="s">
        <v>650</v>
      </c>
      <c r="H531">
        <v>4370.83</v>
      </c>
      <c r="I531" t="s">
        <v>650</v>
      </c>
      <c r="K531" t="str">
        <f t="shared" si="10"/>
        <v>No</v>
      </c>
    </row>
    <row r="532" spans="3:11" x14ac:dyDescent="0.3">
      <c r="C532">
        <v>508</v>
      </c>
      <c r="D532">
        <v>3497.06</v>
      </c>
      <c r="E532" t="s">
        <v>650</v>
      </c>
      <c r="F532">
        <v>3512.15</v>
      </c>
      <c r="G532" t="s">
        <v>650</v>
      </c>
      <c r="H532">
        <v>2329.79</v>
      </c>
      <c r="I532" t="s">
        <v>650</v>
      </c>
      <c r="K532" t="str">
        <f t="shared" si="10"/>
        <v>No</v>
      </c>
    </row>
    <row r="533" spans="3:11" x14ac:dyDescent="0.3">
      <c r="C533">
        <v>509</v>
      </c>
      <c r="D533">
        <v>4539.07</v>
      </c>
      <c r="E533" t="s">
        <v>650</v>
      </c>
      <c r="F533">
        <v>3141.55</v>
      </c>
      <c r="G533" t="s">
        <v>650</v>
      </c>
      <c r="H533">
        <v>3287.08</v>
      </c>
      <c r="I533" t="s">
        <v>650</v>
      </c>
      <c r="K533" t="str">
        <f t="shared" si="10"/>
        <v>No</v>
      </c>
    </row>
    <row r="534" spans="3:11" x14ac:dyDescent="0.3">
      <c r="C534">
        <v>510</v>
      </c>
      <c r="D534">
        <v>1691.54</v>
      </c>
      <c r="E534" t="s">
        <v>650</v>
      </c>
      <c r="F534">
        <v>3656.79</v>
      </c>
      <c r="G534" t="s">
        <v>650</v>
      </c>
      <c r="H534">
        <v>2487</v>
      </c>
      <c r="I534" t="s">
        <v>650</v>
      </c>
      <c r="K534" t="str">
        <f t="shared" si="10"/>
        <v>No</v>
      </c>
    </row>
    <row r="535" spans="3:11" x14ac:dyDescent="0.3">
      <c r="C535">
        <v>511</v>
      </c>
      <c r="D535">
        <v>2850.16</v>
      </c>
      <c r="E535" t="s">
        <v>650</v>
      </c>
      <c r="F535">
        <v>2922.5</v>
      </c>
      <c r="G535" t="s">
        <v>650</v>
      </c>
      <c r="H535">
        <v>2680.72</v>
      </c>
      <c r="I535" t="s">
        <v>650</v>
      </c>
      <c r="K535" t="str">
        <f t="shared" si="10"/>
        <v>No</v>
      </c>
    </row>
    <row r="536" spans="3:11" x14ac:dyDescent="0.3">
      <c r="C536">
        <v>512</v>
      </c>
      <c r="D536">
        <v>3064.95</v>
      </c>
      <c r="E536" t="s">
        <v>650</v>
      </c>
      <c r="F536">
        <v>3554.07</v>
      </c>
      <c r="G536" t="s">
        <v>650</v>
      </c>
      <c r="H536">
        <v>3708.94</v>
      </c>
      <c r="I536" t="s">
        <v>650</v>
      </c>
      <c r="K536" t="str">
        <f t="shared" si="10"/>
        <v>No</v>
      </c>
    </row>
    <row r="537" spans="3:11" x14ac:dyDescent="0.3">
      <c r="C537">
        <v>513</v>
      </c>
      <c r="D537">
        <v>2394.81</v>
      </c>
      <c r="E537" t="s">
        <v>650</v>
      </c>
      <c r="F537">
        <v>1555.53</v>
      </c>
      <c r="G537" t="s">
        <v>650</v>
      </c>
      <c r="H537">
        <v>2338.2800000000002</v>
      </c>
      <c r="I537" t="s">
        <v>650</v>
      </c>
      <c r="K537" t="str">
        <f t="shared" ref="K537:K600" si="11">IF(AND(E537="No",G537="No",I537="No"),"No","Yes")</f>
        <v>No</v>
      </c>
    </row>
    <row r="538" spans="3:11" x14ac:dyDescent="0.3">
      <c r="C538">
        <v>514</v>
      </c>
      <c r="D538">
        <v>3992.79</v>
      </c>
      <c r="E538" t="s">
        <v>650</v>
      </c>
      <c r="F538">
        <v>2266.79</v>
      </c>
      <c r="G538" t="s">
        <v>650</v>
      </c>
      <c r="H538">
        <v>3639.78</v>
      </c>
      <c r="I538" t="s">
        <v>650</v>
      </c>
      <c r="K538" t="str">
        <f t="shared" si="11"/>
        <v>No</v>
      </c>
    </row>
    <row r="539" spans="3:11" x14ac:dyDescent="0.3">
      <c r="C539">
        <v>515</v>
      </c>
      <c r="D539">
        <v>2575.79</v>
      </c>
      <c r="E539" t="s">
        <v>650</v>
      </c>
      <c r="F539">
        <v>2694.44</v>
      </c>
      <c r="G539" t="s">
        <v>650</v>
      </c>
      <c r="H539">
        <v>3707.5</v>
      </c>
      <c r="I539" t="s">
        <v>650</v>
      </c>
      <c r="K539" t="str">
        <f t="shared" si="11"/>
        <v>No</v>
      </c>
    </row>
    <row r="540" spans="3:11" x14ac:dyDescent="0.3">
      <c r="C540">
        <v>516</v>
      </c>
      <c r="D540">
        <v>2022.79</v>
      </c>
      <c r="E540" t="s">
        <v>650</v>
      </c>
      <c r="F540">
        <v>3231.1</v>
      </c>
      <c r="G540" t="s">
        <v>650</v>
      </c>
      <c r="H540">
        <v>3053.8</v>
      </c>
      <c r="I540" t="s">
        <v>650</v>
      </c>
      <c r="K540" t="str">
        <f t="shared" si="11"/>
        <v>No</v>
      </c>
    </row>
    <row r="541" spans="3:11" x14ac:dyDescent="0.3">
      <c r="C541">
        <v>517</v>
      </c>
      <c r="D541">
        <v>2751.66</v>
      </c>
      <c r="E541" t="s">
        <v>650</v>
      </c>
      <c r="F541">
        <v>2619.71</v>
      </c>
      <c r="G541" t="s">
        <v>650</v>
      </c>
      <c r="H541">
        <v>4033.5</v>
      </c>
      <c r="I541" t="s">
        <v>650</v>
      </c>
      <c r="K541" t="str">
        <f t="shared" si="11"/>
        <v>No</v>
      </c>
    </row>
    <row r="542" spans="3:11" x14ac:dyDescent="0.3">
      <c r="C542">
        <v>518</v>
      </c>
      <c r="D542">
        <v>2733.18</v>
      </c>
      <c r="E542" t="s">
        <v>650</v>
      </c>
      <c r="F542">
        <v>2106.06</v>
      </c>
      <c r="G542" t="s">
        <v>650</v>
      </c>
      <c r="H542">
        <v>2600.08</v>
      </c>
      <c r="I542" t="s">
        <v>650</v>
      </c>
      <c r="K542" t="str">
        <f t="shared" si="11"/>
        <v>No</v>
      </c>
    </row>
    <row r="543" spans="3:11" x14ac:dyDescent="0.3">
      <c r="C543">
        <v>519</v>
      </c>
      <c r="D543">
        <v>3006.6</v>
      </c>
      <c r="E543" t="s">
        <v>650</v>
      </c>
      <c r="F543">
        <v>3240.05</v>
      </c>
      <c r="G543" t="s">
        <v>650</v>
      </c>
      <c r="H543">
        <v>2050.5100000000002</v>
      </c>
      <c r="I543" t="s">
        <v>650</v>
      </c>
      <c r="K543" t="str">
        <f t="shared" si="11"/>
        <v>No</v>
      </c>
    </row>
    <row r="544" spans="3:11" x14ac:dyDescent="0.3">
      <c r="C544">
        <v>520</v>
      </c>
      <c r="D544">
        <v>3136.77</v>
      </c>
      <c r="E544" t="s">
        <v>650</v>
      </c>
      <c r="F544">
        <v>4418.43</v>
      </c>
      <c r="G544" t="s">
        <v>650</v>
      </c>
      <c r="H544">
        <v>3817.11</v>
      </c>
      <c r="I544" t="s">
        <v>650</v>
      </c>
      <c r="K544" t="str">
        <f t="shared" si="11"/>
        <v>No</v>
      </c>
    </row>
    <row r="545" spans="3:11" x14ac:dyDescent="0.3">
      <c r="C545">
        <v>521</v>
      </c>
      <c r="D545">
        <v>3227.85</v>
      </c>
      <c r="E545" t="s">
        <v>650</v>
      </c>
      <c r="F545">
        <v>2541.12</v>
      </c>
      <c r="G545" t="s">
        <v>650</v>
      </c>
      <c r="H545">
        <v>3526.5</v>
      </c>
      <c r="I545" t="s">
        <v>650</v>
      </c>
      <c r="K545" t="str">
        <f t="shared" si="11"/>
        <v>No</v>
      </c>
    </row>
    <row r="546" spans="3:11" x14ac:dyDescent="0.3">
      <c r="C546">
        <v>522</v>
      </c>
      <c r="D546">
        <v>3845.85</v>
      </c>
      <c r="E546" t="s">
        <v>650</v>
      </c>
      <c r="F546">
        <v>3264.73</v>
      </c>
      <c r="G546" t="s">
        <v>650</v>
      </c>
      <c r="H546">
        <v>6132.75</v>
      </c>
      <c r="I546" t="s">
        <v>650</v>
      </c>
      <c r="K546" t="str">
        <f t="shared" si="11"/>
        <v>No</v>
      </c>
    </row>
    <row r="547" spans="3:11" x14ac:dyDescent="0.3">
      <c r="C547">
        <v>523</v>
      </c>
      <c r="D547">
        <v>3466.03</v>
      </c>
      <c r="E547" t="s">
        <v>650</v>
      </c>
      <c r="F547">
        <v>4659.96</v>
      </c>
      <c r="G547" t="s">
        <v>650</v>
      </c>
      <c r="H547">
        <v>3414.07</v>
      </c>
      <c r="I547" t="s">
        <v>650</v>
      </c>
      <c r="K547" t="str">
        <f t="shared" si="11"/>
        <v>No</v>
      </c>
    </row>
    <row r="548" spans="3:11" x14ac:dyDescent="0.3">
      <c r="C548">
        <v>524</v>
      </c>
      <c r="D548">
        <v>1864.16</v>
      </c>
      <c r="E548" t="s">
        <v>650</v>
      </c>
      <c r="F548">
        <v>2534.42</v>
      </c>
      <c r="G548" t="s">
        <v>650</v>
      </c>
      <c r="H548">
        <v>4576.2299999999996</v>
      </c>
      <c r="I548" t="s">
        <v>650</v>
      </c>
      <c r="K548" t="str">
        <f t="shared" si="11"/>
        <v>No</v>
      </c>
    </row>
    <row r="549" spans="3:11" x14ac:dyDescent="0.3">
      <c r="C549">
        <v>525</v>
      </c>
      <c r="D549">
        <v>1719.19</v>
      </c>
      <c r="E549" t="s">
        <v>650</v>
      </c>
      <c r="F549">
        <v>3310.69</v>
      </c>
      <c r="G549" t="s">
        <v>650</v>
      </c>
      <c r="H549">
        <v>1660.59</v>
      </c>
      <c r="I549" t="s">
        <v>650</v>
      </c>
      <c r="K549" t="str">
        <f t="shared" si="11"/>
        <v>No</v>
      </c>
    </row>
    <row r="550" spans="3:11" x14ac:dyDescent="0.3">
      <c r="C550">
        <v>526</v>
      </c>
      <c r="D550">
        <v>3539.15</v>
      </c>
      <c r="E550" t="s">
        <v>650</v>
      </c>
      <c r="F550">
        <v>2095.46</v>
      </c>
      <c r="G550" t="s">
        <v>650</v>
      </c>
      <c r="H550">
        <v>3179.42</v>
      </c>
      <c r="I550" t="s">
        <v>650</v>
      </c>
      <c r="K550" t="str">
        <f t="shared" si="11"/>
        <v>No</v>
      </c>
    </row>
    <row r="551" spans="3:11" x14ac:dyDescent="0.3">
      <c r="C551">
        <v>527</v>
      </c>
      <c r="D551">
        <v>4660.58</v>
      </c>
      <c r="E551" t="s">
        <v>650</v>
      </c>
      <c r="F551">
        <v>4409.53</v>
      </c>
      <c r="G551" t="s">
        <v>650</v>
      </c>
      <c r="H551">
        <v>2889.59</v>
      </c>
      <c r="I551" t="s">
        <v>650</v>
      </c>
      <c r="K551" t="str">
        <f t="shared" si="11"/>
        <v>No</v>
      </c>
    </row>
    <row r="552" spans="3:11" x14ac:dyDescent="0.3">
      <c r="C552">
        <v>528</v>
      </c>
      <c r="D552">
        <v>3637.14</v>
      </c>
      <c r="E552" t="s">
        <v>650</v>
      </c>
      <c r="F552">
        <v>3183.41</v>
      </c>
      <c r="G552" t="s">
        <v>650</v>
      </c>
      <c r="H552">
        <v>2378.92</v>
      </c>
      <c r="I552" t="s">
        <v>650</v>
      </c>
      <c r="K552" t="str">
        <f t="shared" si="11"/>
        <v>No</v>
      </c>
    </row>
    <row r="553" spans="3:11" x14ac:dyDescent="0.3">
      <c r="C553">
        <v>529</v>
      </c>
      <c r="D553">
        <v>1851.63</v>
      </c>
      <c r="E553" t="s">
        <v>650</v>
      </c>
      <c r="F553">
        <v>1675.6</v>
      </c>
      <c r="G553" t="s">
        <v>650</v>
      </c>
      <c r="H553">
        <v>2793.63</v>
      </c>
      <c r="I553" t="s">
        <v>650</v>
      </c>
      <c r="K553" t="str">
        <f t="shared" si="11"/>
        <v>No</v>
      </c>
    </row>
    <row r="554" spans="3:11" x14ac:dyDescent="0.3">
      <c r="C554">
        <v>530</v>
      </c>
      <c r="D554">
        <v>3710.88</v>
      </c>
      <c r="E554" t="s">
        <v>650</v>
      </c>
      <c r="F554">
        <v>2298.17</v>
      </c>
      <c r="G554" t="s">
        <v>650</v>
      </c>
      <c r="H554">
        <v>4470.22</v>
      </c>
      <c r="I554" t="s">
        <v>650</v>
      </c>
      <c r="K554" t="str">
        <f t="shared" si="11"/>
        <v>No</v>
      </c>
    </row>
    <row r="555" spans="3:11" x14ac:dyDescent="0.3">
      <c r="C555">
        <v>531</v>
      </c>
      <c r="D555">
        <v>2982.1</v>
      </c>
      <c r="E555" t="s">
        <v>650</v>
      </c>
      <c r="F555">
        <v>2868.33</v>
      </c>
      <c r="G555" t="s">
        <v>650</v>
      </c>
      <c r="H555">
        <v>2339.9</v>
      </c>
      <c r="I555" t="s">
        <v>650</v>
      </c>
      <c r="K555" t="str">
        <f t="shared" si="11"/>
        <v>No</v>
      </c>
    </row>
    <row r="556" spans="3:11" x14ac:dyDescent="0.3">
      <c r="C556">
        <v>532</v>
      </c>
      <c r="D556">
        <v>2336.59</v>
      </c>
      <c r="E556" t="s">
        <v>650</v>
      </c>
      <c r="F556">
        <v>4037.28</v>
      </c>
      <c r="G556" t="s">
        <v>650</v>
      </c>
      <c r="H556">
        <v>4180.16</v>
      </c>
      <c r="I556" t="s">
        <v>650</v>
      </c>
      <c r="K556" t="str">
        <f t="shared" si="11"/>
        <v>No</v>
      </c>
    </row>
    <row r="557" spans="3:11" x14ac:dyDescent="0.3">
      <c r="C557">
        <v>533</v>
      </c>
      <c r="D557">
        <v>2873.02</v>
      </c>
      <c r="E557" t="s">
        <v>650</v>
      </c>
      <c r="F557">
        <v>2912.32</v>
      </c>
      <c r="G557" t="s">
        <v>650</v>
      </c>
      <c r="H557">
        <v>2444.23</v>
      </c>
      <c r="I557" t="s">
        <v>650</v>
      </c>
      <c r="K557" t="str">
        <f t="shared" si="11"/>
        <v>No</v>
      </c>
    </row>
    <row r="558" spans="3:11" x14ac:dyDescent="0.3">
      <c r="C558">
        <v>534</v>
      </c>
      <c r="D558">
        <v>3273.46</v>
      </c>
      <c r="E558" t="s">
        <v>650</v>
      </c>
      <c r="F558">
        <v>3231.34</v>
      </c>
      <c r="G558" t="s">
        <v>650</v>
      </c>
      <c r="H558">
        <v>5102.71</v>
      </c>
      <c r="I558" t="s">
        <v>650</v>
      </c>
      <c r="K558" t="str">
        <f t="shared" si="11"/>
        <v>No</v>
      </c>
    </row>
    <row r="559" spans="3:11" x14ac:dyDescent="0.3">
      <c r="C559">
        <v>535</v>
      </c>
      <c r="D559">
        <v>2907.15</v>
      </c>
      <c r="E559" t="s">
        <v>650</v>
      </c>
      <c r="F559">
        <v>4138.62</v>
      </c>
      <c r="G559" t="s">
        <v>650</v>
      </c>
      <c r="H559">
        <v>2667.44</v>
      </c>
      <c r="I559" t="s">
        <v>650</v>
      </c>
      <c r="K559" t="str">
        <f t="shared" si="11"/>
        <v>No</v>
      </c>
    </row>
    <row r="560" spans="3:11" x14ac:dyDescent="0.3">
      <c r="C560">
        <v>536</v>
      </c>
      <c r="D560">
        <v>2320.8200000000002</v>
      </c>
      <c r="E560" t="s">
        <v>650</v>
      </c>
      <c r="F560">
        <v>3104.44</v>
      </c>
      <c r="G560" t="s">
        <v>650</v>
      </c>
      <c r="H560">
        <v>3668.02</v>
      </c>
      <c r="I560" t="s">
        <v>650</v>
      </c>
      <c r="K560" t="str">
        <f t="shared" si="11"/>
        <v>No</v>
      </c>
    </row>
    <row r="561" spans="3:11" x14ac:dyDescent="0.3">
      <c r="C561">
        <v>537</v>
      </c>
      <c r="D561">
        <v>2982.3</v>
      </c>
      <c r="E561" t="s">
        <v>650</v>
      </c>
      <c r="F561">
        <v>2763.18</v>
      </c>
      <c r="G561" t="s">
        <v>650</v>
      </c>
      <c r="H561">
        <v>3780.3</v>
      </c>
      <c r="I561" t="s">
        <v>650</v>
      </c>
      <c r="K561" t="str">
        <f t="shared" si="11"/>
        <v>No</v>
      </c>
    </row>
    <row r="562" spans="3:11" x14ac:dyDescent="0.3">
      <c r="C562">
        <v>538</v>
      </c>
      <c r="D562">
        <v>2237.4299999999998</v>
      </c>
      <c r="E562" t="s">
        <v>650</v>
      </c>
      <c r="F562">
        <v>3059.77</v>
      </c>
      <c r="G562" t="s">
        <v>650</v>
      </c>
      <c r="H562">
        <v>3214.68</v>
      </c>
      <c r="I562" t="s">
        <v>650</v>
      </c>
      <c r="K562" t="str">
        <f t="shared" si="11"/>
        <v>No</v>
      </c>
    </row>
    <row r="563" spans="3:11" x14ac:dyDescent="0.3">
      <c r="C563">
        <v>539</v>
      </c>
      <c r="D563">
        <v>2710.43</v>
      </c>
      <c r="E563" t="s">
        <v>650</v>
      </c>
      <c r="F563">
        <v>2154.1999999999998</v>
      </c>
      <c r="G563" t="s">
        <v>650</v>
      </c>
      <c r="H563">
        <v>3835.83</v>
      </c>
      <c r="I563" t="s">
        <v>650</v>
      </c>
      <c r="K563" t="str">
        <f t="shared" si="11"/>
        <v>No</v>
      </c>
    </row>
    <row r="564" spans="3:11" x14ac:dyDescent="0.3">
      <c r="C564">
        <v>540</v>
      </c>
      <c r="D564">
        <v>2624.08</v>
      </c>
      <c r="E564" t="s">
        <v>650</v>
      </c>
      <c r="F564">
        <v>2741.59</v>
      </c>
      <c r="G564" t="s">
        <v>650</v>
      </c>
      <c r="H564">
        <v>4027.08</v>
      </c>
      <c r="I564" t="s">
        <v>650</v>
      </c>
      <c r="K564" t="str">
        <f t="shared" si="11"/>
        <v>No</v>
      </c>
    </row>
    <row r="565" spans="3:11" x14ac:dyDescent="0.3">
      <c r="C565">
        <v>541</v>
      </c>
      <c r="D565">
        <v>3033.13</v>
      </c>
      <c r="E565" t="s">
        <v>650</v>
      </c>
      <c r="F565">
        <v>2747.5</v>
      </c>
      <c r="G565" t="s">
        <v>650</v>
      </c>
      <c r="H565">
        <v>2109.02</v>
      </c>
      <c r="I565" t="s">
        <v>650</v>
      </c>
      <c r="K565" t="str">
        <f t="shared" si="11"/>
        <v>No</v>
      </c>
    </row>
    <row r="566" spans="3:11" x14ac:dyDescent="0.3">
      <c r="C566">
        <v>542</v>
      </c>
      <c r="D566">
        <v>2050.59</v>
      </c>
      <c r="E566" t="s">
        <v>650</v>
      </c>
      <c r="F566">
        <v>3436.84</v>
      </c>
      <c r="G566" t="s">
        <v>650</v>
      </c>
      <c r="H566">
        <v>3816.55</v>
      </c>
      <c r="I566" t="s">
        <v>650</v>
      </c>
      <c r="K566" t="str">
        <f t="shared" si="11"/>
        <v>No</v>
      </c>
    </row>
    <row r="567" spans="3:11" x14ac:dyDescent="0.3">
      <c r="C567">
        <v>543</v>
      </c>
      <c r="D567">
        <v>1899.87</v>
      </c>
      <c r="E567" t="s">
        <v>650</v>
      </c>
      <c r="F567">
        <v>2331.5</v>
      </c>
      <c r="G567" t="s">
        <v>650</v>
      </c>
      <c r="H567">
        <v>2564.29</v>
      </c>
      <c r="I567" t="s">
        <v>650</v>
      </c>
      <c r="K567" t="str">
        <f t="shared" si="11"/>
        <v>No</v>
      </c>
    </row>
    <row r="568" spans="3:11" x14ac:dyDescent="0.3">
      <c r="C568">
        <v>544</v>
      </c>
      <c r="D568">
        <v>2981.82</v>
      </c>
      <c r="E568" t="s">
        <v>650</v>
      </c>
      <c r="F568">
        <v>2808.68</v>
      </c>
      <c r="G568" t="s">
        <v>650</v>
      </c>
      <c r="H568">
        <v>2858.51</v>
      </c>
      <c r="I568" t="s">
        <v>650</v>
      </c>
      <c r="K568" t="str">
        <f t="shared" si="11"/>
        <v>No</v>
      </c>
    </row>
    <row r="569" spans="3:11" x14ac:dyDescent="0.3">
      <c r="C569">
        <v>545</v>
      </c>
      <c r="D569">
        <v>1693.97</v>
      </c>
      <c r="E569" t="s">
        <v>650</v>
      </c>
      <c r="F569">
        <v>4014.8</v>
      </c>
      <c r="G569" t="s">
        <v>650</v>
      </c>
      <c r="H569">
        <v>3624.06</v>
      </c>
      <c r="I569" t="s">
        <v>650</v>
      </c>
      <c r="K569" t="str">
        <f t="shared" si="11"/>
        <v>No</v>
      </c>
    </row>
    <row r="570" spans="3:11" x14ac:dyDescent="0.3">
      <c r="C570">
        <v>546</v>
      </c>
      <c r="D570">
        <v>2815.09</v>
      </c>
      <c r="E570" t="s">
        <v>650</v>
      </c>
      <c r="F570">
        <v>3178.95</v>
      </c>
      <c r="G570" t="s">
        <v>650</v>
      </c>
      <c r="H570">
        <v>3775.32</v>
      </c>
      <c r="I570" t="s">
        <v>650</v>
      </c>
      <c r="K570" t="str">
        <f t="shared" si="11"/>
        <v>No</v>
      </c>
    </row>
    <row r="571" spans="3:11" x14ac:dyDescent="0.3">
      <c r="C571">
        <v>547</v>
      </c>
      <c r="D571">
        <v>4032.64</v>
      </c>
      <c r="E571" t="s">
        <v>650</v>
      </c>
      <c r="F571">
        <v>4296.18</v>
      </c>
      <c r="G571" t="s">
        <v>650</v>
      </c>
      <c r="H571">
        <v>3516.8</v>
      </c>
      <c r="I571" t="s">
        <v>650</v>
      </c>
      <c r="K571" t="str">
        <f t="shared" si="11"/>
        <v>No</v>
      </c>
    </row>
    <row r="572" spans="3:11" x14ac:dyDescent="0.3">
      <c r="C572">
        <v>548</v>
      </c>
      <c r="D572">
        <v>2954.01</v>
      </c>
      <c r="E572" t="s">
        <v>650</v>
      </c>
      <c r="F572">
        <v>2776.06</v>
      </c>
      <c r="G572" t="s">
        <v>650</v>
      </c>
      <c r="H572">
        <v>3633.87</v>
      </c>
      <c r="I572" t="s">
        <v>650</v>
      </c>
      <c r="K572" t="str">
        <f t="shared" si="11"/>
        <v>No</v>
      </c>
    </row>
    <row r="573" spans="3:11" x14ac:dyDescent="0.3">
      <c r="C573">
        <v>549</v>
      </c>
      <c r="D573">
        <v>2282.85</v>
      </c>
      <c r="E573" t="s">
        <v>650</v>
      </c>
      <c r="F573">
        <v>2781.64</v>
      </c>
      <c r="G573" t="s">
        <v>650</v>
      </c>
      <c r="H573">
        <v>3721.91</v>
      </c>
      <c r="I573" t="s">
        <v>650</v>
      </c>
      <c r="K573" t="str">
        <f t="shared" si="11"/>
        <v>No</v>
      </c>
    </row>
    <row r="574" spans="3:11" x14ac:dyDescent="0.3">
      <c r="C574">
        <v>550</v>
      </c>
      <c r="D574">
        <v>3916</v>
      </c>
      <c r="E574" t="s">
        <v>650</v>
      </c>
      <c r="F574">
        <v>1975.92</v>
      </c>
      <c r="G574" t="s">
        <v>650</v>
      </c>
      <c r="H574">
        <v>3348.62</v>
      </c>
      <c r="I574" t="s">
        <v>650</v>
      </c>
      <c r="K574" t="str">
        <f t="shared" si="11"/>
        <v>No</v>
      </c>
    </row>
    <row r="575" spans="3:11" x14ac:dyDescent="0.3">
      <c r="C575">
        <v>551</v>
      </c>
      <c r="D575">
        <v>3117.72</v>
      </c>
      <c r="E575" t="s">
        <v>650</v>
      </c>
      <c r="F575">
        <v>3624.81</v>
      </c>
      <c r="G575" t="s">
        <v>650</v>
      </c>
      <c r="H575">
        <v>4439.8100000000004</v>
      </c>
      <c r="I575" t="s">
        <v>650</v>
      </c>
      <c r="K575" t="str">
        <f t="shared" si="11"/>
        <v>No</v>
      </c>
    </row>
    <row r="576" spans="3:11" x14ac:dyDescent="0.3">
      <c r="C576">
        <v>552</v>
      </c>
      <c r="D576">
        <v>3412.71</v>
      </c>
      <c r="E576" t="s">
        <v>650</v>
      </c>
      <c r="F576">
        <v>3629.48</v>
      </c>
      <c r="G576" t="s">
        <v>650</v>
      </c>
      <c r="H576">
        <v>3997.51</v>
      </c>
      <c r="I576" t="s">
        <v>650</v>
      </c>
      <c r="K576" t="str">
        <f t="shared" si="11"/>
        <v>No</v>
      </c>
    </row>
    <row r="577" spans="3:11" x14ac:dyDescent="0.3">
      <c r="C577">
        <v>553</v>
      </c>
      <c r="D577">
        <v>2836.75</v>
      </c>
      <c r="E577" t="s">
        <v>650</v>
      </c>
      <c r="F577">
        <v>3158.51</v>
      </c>
      <c r="G577" t="s">
        <v>650</v>
      </c>
      <c r="H577">
        <v>4054.34</v>
      </c>
      <c r="I577" t="s">
        <v>650</v>
      </c>
      <c r="K577" t="str">
        <f t="shared" si="11"/>
        <v>No</v>
      </c>
    </row>
    <row r="578" spans="3:11" x14ac:dyDescent="0.3">
      <c r="C578">
        <v>554</v>
      </c>
      <c r="D578">
        <v>3223.26</v>
      </c>
      <c r="E578" t="s">
        <v>650</v>
      </c>
      <c r="F578">
        <v>1914.41</v>
      </c>
      <c r="G578" t="s">
        <v>650</v>
      </c>
      <c r="H578">
        <v>2782.33</v>
      </c>
      <c r="I578" t="s">
        <v>650</v>
      </c>
      <c r="K578" t="str">
        <f t="shared" si="11"/>
        <v>No</v>
      </c>
    </row>
    <row r="579" spans="3:11" x14ac:dyDescent="0.3">
      <c r="C579">
        <v>555</v>
      </c>
      <c r="D579">
        <v>2690.64</v>
      </c>
      <c r="E579" t="s">
        <v>650</v>
      </c>
      <c r="F579">
        <v>3090.79</v>
      </c>
      <c r="G579" t="s">
        <v>650</v>
      </c>
      <c r="H579">
        <v>3479.5</v>
      </c>
      <c r="I579" t="s">
        <v>650</v>
      </c>
      <c r="K579" t="str">
        <f t="shared" si="11"/>
        <v>No</v>
      </c>
    </row>
    <row r="580" spans="3:11" x14ac:dyDescent="0.3">
      <c r="C580">
        <v>556</v>
      </c>
      <c r="D580">
        <v>3299.46</v>
      </c>
      <c r="E580" t="s">
        <v>650</v>
      </c>
      <c r="F580">
        <v>3827.71</v>
      </c>
      <c r="G580" t="s">
        <v>650</v>
      </c>
      <c r="H580">
        <v>3583.44</v>
      </c>
      <c r="I580" t="s">
        <v>650</v>
      </c>
      <c r="K580" t="str">
        <f t="shared" si="11"/>
        <v>No</v>
      </c>
    </row>
    <row r="581" spans="3:11" x14ac:dyDescent="0.3">
      <c r="C581">
        <v>557</v>
      </c>
      <c r="D581">
        <v>3071.17</v>
      </c>
      <c r="E581" t="s">
        <v>650</v>
      </c>
      <c r="F581">
        <v>3076.31</v>
      </c>
      <c r="G581" t="s">
        <v>650</v>
      </c>
      <c r="H581">
        <v>5034.37</v>
      </c>
      <c r="I581" t="s">
        <v>650</v>
      </c>
      <c r="K581" t="str">
        <f t="shared" si="11"/>
        <v>No</v>
      </c>
    </row>
    <row r="582" spans="3:11" x14ac:dyDescent="0.3">
      <c r="C582">
        <v>558</v>
      </c>
      <c r="D582">
        <v>3870.48</v>
      </c>
      <c r="E582" t="s">
        <v>650</v>
      </c>
      <c r="F582">
        <v>2613.71</v>
      </c>
      <c r="G582" t="s">
        <v>650</v>
      </c>
      <c r="H582">
        <v>3327.75</v>
      </c>
      <c r="I582" t="s">
        <v>650</v>
      </c>
      <c r="K582" t="str">
        <f t="shared" si="11"/>
        <v>No</v>
      </c>
    </row>
    <row r="583" spans="3:11" x14ac:dyDescent="0.3">
      <c r="C583">
        <v>559</v>
      </c>
      <c r="D583">
        <v>3097.14</v>
      </c>
      <c r="E583" t="s">
        <v>650</v>
      </c>
      <c r="F583">
        <v>3060.4</v>
      </c>
      <c r="G583" t="s">
        <v>650</v>
      </c>
      <c r="H583">
        <v>2847.61</v>
      </c>
      <c r="I583" t="s">
        <v>650</v>
      </c>
      <c r="K583" t="str">
        <f t="shared" si="11"/>
        <v>No</v>
      </c>
    </row>
    <row r="584" spans="3:11" x14ac:dyDescent="0.3">
      <c r="C584">
        <v>560</v>
      </c>
      <c r="D584">
        <v>3012.51</v>
      </c>
      <c r="E584" t="s">
        <v>650</v>
      </c>
      <c r="F584">
        <v>2649.04</v>
      </c>
      <c r="G584" t="s">
        <v>650</v>
      </c>
      <c r="H584">
        <v>4230.32</v>
      </c>
      <c r="I584" t="s">
        <v>650</v>
      </c>
      <c r="K584" t="str">
        <f t="shared" si="11"/>
        <v>No</v>
      </c>
    </row>
    <row r="585" spans="3:11" x14ac:dyDescent="0.3">
      <c r="C585">
        <v>561</v>
      </c>
      <c r="D585">
        <v>3315.16</v>
      </c>
      <c r="E585" t="s">
        <v>650</v>
      </c>
      <c r="F585">
        <v>1762.17</v>
      </c>
      <c r="G585" t="s">
        <v>650</v>
      </c>
      <c r="H585">
        <v>3293.39</v>
      </c>
      <c r="I585" t="s">
        <v>650</v>
      </c>
      <c r="K585" t="str">
        <f t="shared" si="11"/>
        <v>No</v>
      </c>
    </row>
    <row r="586" spans="3:11" x14ac:dyDescent="0.3">
      <c r="C586">
        <v>562</v>
      </c>
      <c r="D586">
        <v>3508.84</v>
      </c>
      <c r="E586" t="s">
        <v>650</v>
      </c>
      <c r="F586">
        <v>2131.21</v>
      </c>
      <c r="G586" t="s">
        <v>650</v>
      </c>
      <c r="H586">
        <v>4146.5</v>
      </c>
      <c r="I586" t="s">
        <v>650</v>
      </c>
      <c r="K586" t="str">
        <f t="shared" si="11"/>
        <v>No</v>
      </c>
    </row>
    <row r="587" spans="3:11" x14ac:dyDescent="0.3">
      <c r="C587">
        <v>563</v>
      </c>
      <c r="D587">
        <v>3486.92</v>
      </c>
      <c r="E587" t="s">
        <v>650</v>
      </c>
      <c r="F587">
        <v>3177.87</v>
      </c>
      <c r="G587" t="s">
        <v>650</v>
      </c>
      <c r="H587">
        <v>3060.8</v>
      </c>
      <c r="I587" t="s">
        <v>650</v>
      </c>
      <c r="K587" t="str">
        <f t="shared" si="11"/>
        <v>No</v>
      </c>
    </row>
    <row r="588" spans="3:11" x14ac:dyDescent="0.3">
      <c r="C588">
        <v>564</v>
      </c>
      <c r="D588">
        <v>3265.77</v>
      </c>
      <c r="E588" t="s">
        <v>650</v>
      </c>
      <c r="F588">
        <v>2609.7199999999998</v>
      </c>
      <c r="G588" t="s">
        <v>650</v>
      </c>
      <c r="H588">
        <v>4417.3</v>
      </c>
      <c r="I588" t="s">
        <v>650</v>
      </c>
      <c r="K588" t="str">
        <f t="shared" si="11"/>
        <v>No</v>
      </c>
    </row>
    <row r="589" spans="3:11" x14ac:dyDescent="0.3">
      <c r="C589">
        <v>565</v>
      </c>
      <c r="D589">
        <v>1674.29</v>
      </c>
      <c r="E589" t="s">
        <v>650</v>
      </c>
      <c r="F589">
        <v>3974.33</v>
      </c>
      <c r="G589" t="s">
        <v>650</v>
      </c>
      <c r="H589">
        <v>2080.71</v>
      </c>
      <c r="I589" t="s">
        <v>650</v>
      </c>
      <c r="K589" t="str">
        <f t="shared" si="11"/>
        <v>No</v>
      </c>
    </row>
    <row r="590" spans="3:11" x14ac:dyDescent="0.3">
      <c r="C590">
        <v>566</v>
      </c>
      <c r="D590">
        <v>3897.68</v>
      </c>
      <c r="E590" t="s">
        <v>650</v>
      </c>
      <c r="F590">
        <v>2233.1799999999998</v>
      </c>
      <c r="G590" t="s">
        <v>650</v>
      </c>
      <c r="H590">
        <v>2771.54</v>
      </c>
      <c r="I590" t="s">
        <v>650</v>
      </c>
      <c r="K590" t="str">
        <f t="shared" si="11"/>
        <v>No</v>
      </c>
    </row>
    <row r="591" spans="3:11" x14ac:dyDescent="0.3">
      <c r="C591">
        <v>567</v>
      </c>
      <c r="D591">
        <v>2238.15</v>
      </c>
      <c r="E591" t="s">
        <v>650</v>
      </c>
      <c r="F591">
        <v>2507.5500000000002</v>
      </c>
      <c r="G591" t="s">
        <v>650</v>
      </c>
      <c r="H591">
        <v>4202.8500000000004</v>
      </c>
      <c r="I591" t="s">
        <v>650</v>
      </c>
      <c r="K591" t="str">
        <f t="shared" si="11"/>
        <v>No</v>
      </c>
    </row>
    <row r="592" spans="3:11" x14ac:dyDescent="0.3">
      <c r="C592">
        <v>568</v>
      </c>
      <c r="D592">
        <v>2059.7600000000002</v>
      </c>
      <c r="E592" t="s">
        <v>650</v>
      </c>
      <c r="F592">
        <v>3898</v>
      </c>
      <c r="G592" t="s">
        <v>650</v>
      </c>
      <c r="H592">
        <v>3536.95</v>
      </c>
      <c r="I592" t="s">
        <v>650</v>
      </c>
      <c r="K592" t="str">
        <f t="shared" si="11"/>
        <v>No</v>
      </c>
    </row>
    <row r="593" spans="3:11" x14ac:dyDescent="0.3">
      <c r="C593">
        <v>569</v>
      </c>
      <c r="D593">
        <v>2262.7600000000002</v>
      </c>
      <c r="E593" t="s">
        <v>650</v>
      </c>
      <c r="F593">
        <v>3251.1</v>
      </c>
      <c r="G593" t="s">
        <v>650</v>
      </c>
      <c r="H593">
        <v>3687.83</v>
      </c>
      <c r="I593" t="s">
        <v>650</v>
      </c>
      <c r="K593" t="str">
        <f t="shared" si="11"/>
        <v>No</v>
      </c>
    </row>
    <row r="594" spans="3:11" x14ac:dyDescent="0.3">
      <c r="C594">
        <v>570</v>
      </c>
      <c r="D594">
        <v>3142.06</v>
      </c>
      <c r="E594" t="s">
        <v>650</v>
      </c>
      <c r="F594">
        <v>3712.67</v>
      </c>
      <c r="G594" t="s">
        <v>650</v>
      </c>
      <c r="H594">
        <v>2497.9499999999998</v>
      </c>
      <c r="I594" t="s">
        <v>650</v>
      </c>
      <c r="K594" t="str">
        <f t="shared" si="11"/>
        <v>No</v>
      </c>
    </row>
    <row r="595" spans="3:11" x14ac:dyDescent="0.3">
      <c r="C595">
        <v>571</v>
      </c>
      <c r="D595">
        <v>3108.37</v>
      </c>
      <c r="E595" t="s">
        <v>650</v>
      </c>
      <c r="F595">
        <v>2791.66</v>
      </c>
      <c r="G595" t="s">
        <v>650</v>
      </c>
      <c r="H595">
        <v>2863.39</v>
      </c>
      <c r="I595" t="s">
        <v>650</v>
      </c>
      <c r="K595" t="str">
        <f t="shared" si="11"/>
        <v>No</v>
      </c>
    </row>
    <row r="596" spans="3:11" x14ac:dyDescent="0.3">
      <c r="C596">
        <v>572</v>
      </c>
      <c r="D596">
        <v>1685.61</v>
      </c>
      <c r="E596" t="s">
        <v>650</v>
      </c>
      <c r="F596">
        <v>2343.4</v>
      </c>
      <c r="G596" t="s">
        <v>650</v>
      </c>
      <c r="H596">
        <v>3143.8</v>
      </c>
      <c r="I596" t="s">
        <v>650</v>
      </c>
      <c r="K596" t="str">
        <f t="shared" si="11"/>
        <v>No</v>
      </c>
    </row>
    <row r="597" spans="3:11" x14ac:dyDescent="0.3">
      <c r="C597">
        <v>573</v>
      </c>
      <c r="D597">
        <v>2413.21</v>
      </c>
      <c r="E597" t="s">
        <v>650</v>
      </c>
      <c r="F597">
        <v>2987.57</v>
      </c>
      <c r="G597" t="s">
        <v>650</v>
      </c>
      <c r="H597">
        <v>3885.12</v>
      </c>
      <c r="I597" t="s">
        <v>650</v>
      </c>
      <c r="K597" t="str">
        <f t="shared" si="11"/>
        <v>No</v>
      </c>
    </row>
    <row r="598" spans="3:11" x14ac:dyDescent="0.3">
      <c r="C598">
        <v>574</v>
      </c>
      <c r="D598">
        <v>2262.02</v>
      </c>
      <c r="E598" t="s">
        <v>650</v>
      </c>
      <c r="F598">
        <v>1913.68</v>
      </c>
      <c r="G598" t="s">
        <v>650</v>
      </c>
      <c r="H598">
        <v>2258.73</v>
      </c>
      <c r="I598" t="s">
        <v>650</v>
      </c>
      <c r="K598" t="str">
        <f t="shared" si="11"/>
        <v>No</v>
      </c>
    </row>
    <row r="599" spans="3:11" x14ac:dyDescent="0.3">
      <c r="C599">
        <v>575</v>
      </c>
      <c r="D599">
        <v>2926.52</v>
      </c>
      <c r="E599" t="s">
        <v>650</v>
      </c>
      <c r="F599">
        <v>4000.47</v>
      </c>
      <c r="G599" t="s">
        <v>650</v>
      </c>
      <c r="H599">
        <v>3263.62</v>
      </c>
      <c r="I599" t="s">
        <v>650</v>
      </c>
      <c r="K599" t="str">
        <f t="shared" si="11"/>
        <v>No</v>
      </c>
    </row>
    <row r="600" spans="3:11" x14ac:dyDescent="0.3">
      <c r="C600">
        <v>576</v>
      </c>
      <c r="D600">
        <v>3725.37</v>
      </c>
      <c r="E600" t="s">
        <v>650</v>
      </c>
      <c r="F600">
        <v>2683.01</v>
      </c>
      <c r="G600" t="s">
        <v>650</v>
      </c>
      <c r="H600">
        <v>3889.97</v>
      </c>
      <c r="I600" t="s">
        <v>650</v>
      </c>
      <c r="K600" t="str">
        <f t="shared" si="11"/>
        <v>No</v>
      </c>
    </row>
    <row r="601" spans="3:11" x14ac:dyDescent="0.3">
      <c r="C601">
        <v>577</v>
      </c>
      <c r="D601">
        <v>2582.81</v>
      </c>
      <c r="E601" t="s">
        <v>650</v>
      </c>
      <c r="F601">
        <v>2706.03</v>
      </c>
      <c r="G601" t="s">
        <v>650</v>
      </c>
      <c r="H601">
        <v>4347.21</v>
      </c>
      <c r="I601" t="s">
        <v>650</v>
      </c>
      <c r="K601" t="str">
        <f t="shared" ref="K601:K664" si="12">IF(AND(E601="No",G601="No",I601="No"),"No","Yes")</f>
        <v>No</v>
      </c>
    </row>
    <row r="602" spans="3:11" x14ac:dyDescent="0.3">
      <c r="C602">
        <v>578</v>
      </c>
      <c r="D602">
        <v>3449.7</v>
      </c>
      <c r="E602" t="s">
        <v>650</v>
      </c>
      <c r="F602">
        <v>3981.06</v>
      </c>
      <c r="G602" t="s">
        <v>650</v>
      </c>
      <c r="H602">
        <v>4513.84</v>
      </c>
      <c r="I602" t="s">
        <v>650</v>
      </c>
      <c r="K602" t="str">
        <f t="shared" si="12"/>
        <v>No</v>
      </c>
    </row>
    <row r="603" spans="3:11" x14ac:dyDescent="0.3">
      <c r="C603">
        <v>579</v>
      </c>
      <c r="D603">
        <v>3045.18</v>
      </c>
      <c r="E603" t="s">
        <v>650</v>
      </c>
      <c r="F603">
        <v>2263.16</v>
      </c>
      <c r="G603" t="s">
        <v>650</v>
      </c>
      <c r="H603">
        <v>2879.8</v>
      </c>
      <c r="I603" t="s">
        <v>650</v>
      </c>
      <c r="K603" t="str">
        <f t="shared" si="12"/>
        <v>No</v>
      </c>
    </row>
    <row r="604" spans="3:11" x14ac:dyDescent="0.3">
      <c r="C604">
        <v>580</v>
      </c>
      <c r="D604">
        <v>2437.7399999999998</v>
      </c>
      <c r="E604" t="s">
        <v>650</v>
      </c>
      <c r="F604">
        <v>3442.27</v>
      </c>
      <c r="G604" t="s">
        <v>650</v>
      </c>
      <c r="H604">
        <v>4199.42</v>
      </c>
      <c r="I604" t="s">
        <v>650</v>
      </c>
      <c r="K604" t="str">
        <f t="shared" si="12"/>
        <v>No</v>
      </c>
    </row>
    <row r="605" spans="3:11" x14ac:dyDescent="0.3">
      <c r="C605">
        <v>581</v>
      </c>
      <c r="D605">
        <v>2763.16</v>
      </c>
      <c r="E605" t="s">
        <v>650</v>
      </c>
      <c r="F605">
        <v>2589.66</v>
      </c>
      <c r="G605" t="s">
        <v>650</v>
      </c>
      <c r="H605">
        <v>3938.9</v>
      </c>
      <c r="I605" t="s">
        <v>650</v>
      </c>
      <c r="K605" t="str">
        <f t="shared" si="12"/>
        <v>No</v>
      </c>
    </row>
    <row r="606" spans="3:11" x14ac:dyDescent="0.3">
      <c r="C606">
        <v>582</v>
      </c>
      <c r="D606">
        <v>931.44</v>
      </c>
      <c r="E606" t="s">
        <v>650</v>
      </c>
      <c r="F606">
        <v>3898.93</v>
      </c>
      <c r="G606" t="s">
        <v>650</v>
      </c>
      <c r="H606">
        <v>3666.52</v>
      </c>
      <c r="I606" t="s">
        <v>650</v>
      </c>
      <c r="K606" t="str">
        <f t="shared" si="12"/>
        <v>No</v>
      </c>
    </row>
    <row r="607" spans="3:11" x14ac:dyDescent="0.3">
      <c r="C607">
        <v>583</v>
      </c>
      <c r="D607">
        <v>2340.5</v>
      </c>
      <c r="E607" t="s">
        <v>650</v>
      </c>
      <c r="F607">
        <v>3259.9</v>
      </c>
      <c r="G607" t="s">
        <v>650</v>
      </c>
      <c r="H607">
        <v>2757.27</v>
      </c>
      <c r="I607" t="s">
        <v>650</v>
      </c>
      <c r="K607" t="str">
        <f t="shared" si="12"/>
        <v>No</v>
      </c>
    </row>
    <row r="608" spans="3:11" x14ac:dyDescent="0.3">
      <c r="C608">
        <v>584</v>
      </c>
      <c r="D608">
        <v>3446.18</v>
      </c>
      <c r="E608" t="s">
        <v>650</v>
      </c>
      <c r="F608">
        <v>1250.56</v>
      </c>
      <c r="G608" t="s">
        <v>650</v>
      </c>
      <c r="H608">
        <v>3380.23</v>
      </c>
      <c r="I608" t="s">
        <v>650</v>
      </c>
      <c r="K608" t="str">
        <f t="shared" si="12"/>
        <v>No</v>
      </c>
    </row>
    <row r="609" spans="3:11" x14ac:dyDescent="0.3">
      <c r="C609">
        <v>585</v>
      </c>
      <c r="D609">
        <v>1835.94</v>
      </c>
      <c r="E609" t="s">
        <v>650</v>
      </c>
      <c r="F609">
        <v>1461.98</v>
      </c>
      <c r="G609" t="s">
        <v>650</v>
      </c>
      <c r="H609">
        <v>1944.34</v>
      </c>
      <c r="I609" t="s">
        <v>650</v>
      </c>
      <c r="K609" t="str">
        <f t="shared" si="12"/>
        <v>No</v>
      </c>
    </row>
    <row r="610" spans="3:11" x14ac:dyDescent="0.3">
      <c r="C610">
        <v>586</v>
      </c>
      <c r="D610">
        <v>3283.51</v>
      </c>
      <c r="E610" t="s">
        <v>650</v>
      </c>
      <c r="F610">
        <v>3042.82</v>
      </c>
      <c r="G610" t="s">
        <v>650</v>
      </c>
      <c r="H610">
        <v>4107.21</v>
      </c>
      <c r="I610" t="s">
        <v>650</v>
      </c>
      <c r="K610" t="str">
        <f t="shared" si="12"/>
        <v>No</v>
      </c>
    </row>
    <row r="611" spans="3:11" x14ac:dyDescent="0.3">
      <c r="C611">
        <v>587</v>
      </c>
      <c r="D611">
        <v>2344.7800000000002</v>
      </c>
      <c r="E611" t="s">
        <v>650</v>
      </c>
      <c r="F611">
        <v>4317.3100000000004</v>
      </c>
      <c r="G611" t="s">
        <v>650</v>
      </c>
      <c r="H611">
        <v>4324.71</v>
      </c>
      <c r="I611" t="s">
        <v>650</v>
      </c>
      <c r="K611" t="str">
        <f t="shared" si="12"/>
        <v>No</v>
      </c>
    </row>
    <row r="612" spans="3:11" x14ac:dyDescent="0.3">
      <c r="C612">
        <v>588</v>
      </c>
      <c r="D612">
        <v>2296.2600000000002</v>
      </c>
      <c r="E612" t="s">
        <v>650</v>
      </c>
      <c r="F612">
        <v>2240.86</v>
      </c>
      <c r="G612" t="s">
        <v>650</v>
      </c>
      <c r="H612">
        <v>1611.09</v>
      </c>
      <c r="I612" t="s">
        <v>650</v>
      </c>
      <c r="K612" t="str">
        <f t="shared" si="12"/>
        <v>No</v>
      </c>
    </row>
    <row r="613" spans="3:11" x14ac:dyDescent="0.3">
      <c r="C613">
        <v>589</v>
      </c>
      <c r="D613">
        <v>2694.73</v>
      </c>
      <c r="E613" t="s">
        <v>650</v>
      </c>
      <c r="F613">
        <v>4206.87</v>
      </c>
      <c r="G613" t="s">
        <v>650</v>
      </c>
      <c r="H613">
        <v>3595.67</v>
      </c>
      <c r="I613" t="s">
        <v>650</v>
      </c>
      <c r="K613" t="str">
        <f t="shared" si="12"/>
        <v>No</v>
      </c>
    </row>
    <row r="614" spans="3:11" x14ac:dyDescent="0.3">
      <c r="C614">
        <v>590</v>
      </c>
      <c r="D614">
        <v>4279.75</v>
      </c>
      <c r="E614" t="s">
        <v>650</v>
      </c>
      <c r="F614">
        <v>3497.07</v>
      </c>
      <c r="G614" t="s">
        <v>650</v>
      </c>
      <c r="H614">
        <v>1618.1</v>
      </c>
      <c r="I614" t="s">
        <v>650</v>
      </c>
      <c r="K614" t="str">
        <f t="shared" si="12"/>
        <v>No</v>
      </c>
    </row>
    <row r="615" spans="3:11" x14ac:dyDescent="0.3">
      <c r="C615">
        <v>591</v>
      </c>
      <c r="D615">
        <v>3546.91</v>
      </c>
      <c r="E615" t="s">
        <v>650</v>
      </c>
      <c r="F615">
        <v>1413.27</v>
      </c>
      <c r="G615" t="s">
        <v>650</v>
      </c>
      <c r="H615">
        <v>2614.15</v>
      </c>
      <c r="I615" t="s">
        <v>650</v>
      </c>
      <c r="K615" t="str">
        <f t="shared" si="12"/>
        <v>No</v>
      </c>
    </row>
    <row r="616" spans="3:11" x14ac:dyDescent="0.3">
      <c r="C616">
        <v>592</v>
      </c>
      <c r="D616">
        <v>3583.01</v>
      </c>
      <c r="E616" t="s">
        <v>650</v>
      </c>
      <c r="F616">
        <v>1937.56</v>
      </c>
      <c r="G616" t="s">
        <v>650</v>
      </c>
      <c r="H616">
        <v>3727.19</v>
      </c>
      <c r="I616" t="s">
        <v>650</v>
      </c>
      <c r="K616" t="str">
        <f t="shared" si="12"/>
        <v>No</v>
      </c>
    </row>
    <row r="617" spans="3:11" x14ac:dyDescent="0.3">
      <c r="C617">
        <v>593</v>
      </c>
      <c r="D617">
        <v>3822.04</v>
      </c>
      <c r="E617" t="s">
        <v>650</v>
      </c>
      <c r="F617">
        <v>3614.72</v>
      </c>
      <c r="G617" t="s">
        <v>650</v>
      </c>
      <c r="H617">
        <v>1116.8</v>
      </c>
      <c r="I617" t="s">
        <v>650</v>
      </c>
      <c r="K617" t="str">
        <f t="shared" si="12"/>
        <v>No</v>
      </c>
    </row>
    <row r="618" spans="3:11" x14ac:dyDescent="0.3">
      <c r="C618">
        <v>594</v>
      </c>
      <c r="D618">
        <v>3119.22</v>
      </c>
      <c r="E618" t="s">
        <v>650</v>
      </c>
      <c r="F618">
        <v>1981.57</v>
      </c>
      <c r="G618" t="s">
        <v>650</v>
      </c>
      <c r="H618">
        <v>3394.67</v>
      </c>
      <c r="I618" t="s">
        <v>650</v>
      </c>
      <c r="K618" t="str">
        <f t="shared" si="12"/>
        <v>No</v>
      </c>
    </row>
    <row r="619" spans="3:11" x14ac:dyDescent="0.3">
      <c r="C619">
        <v>595</v>
      </c>
      <c r="D619">
        <v>1883.2</v>
      </c>
      <c r="E619" t="s">
        <v>650</v>
      </c>
      <c r="F619">
        <v>2797.81</v>
      </c>
      <c r="G619" t="s">
        <v>650</v>
      </c>
      <c r="H619">
        <v>3853.77</v>
      </c>
      <c r="I619" t="s">
        <v>650</v>
      </c>
      <c r="K619" t="str">
        <f t="shared" si="12"/>
        <v>No</v>
      </c>
    </row>
    <row r="620" spans="3:11" x14ac:dyDescent="0.3">
      <c r="C620">
        <v>596</v>
      </c>
      <c r="D620">
        <v>3085.21</v>
      </c>
      <c r="E620" t="s">
        <v>650</v>
      </c>
      <c r="F620">
        <v>3794.37</v>
      </c>
      <c r="G620" t="s">
        <v>650</v>
      </c>
      <c r="H620">
        <v>5275.91</v>
      </c>
      <c r="I620" t="s">
        <v>650</v>
      </c>
      <c r="K620" t="str">
        <f t="shared" si="12"/>
        <v>No</v>
      </c>
    </row>
    <row r="621" spans="3:11" x14ac:dyDescent="0.3">
      <c r="C621">
        <v>597</v>
      </c>
      <c r="D621">
        <v>3415.17</v>
      </c>
      <c r="E621" t="s">
        <v>650</v>
      </c>
      <c r="F621">
        <v>3394.91</v>
      </c>
      <c r="G621" t="s">
        <v>650</v>
      </c>
      <c r="H621">
        <v>2818.86</v>
      </c>
      <c r="I621" t="s">
        <v>650</v>
      </c>
      <c r="K621" t="str">
        <f t="shared" si="12"/>
        <v>No</v>
      </c>
    </row>
    <row r="622" spans="3:11" x14ac:dyDescent="0.3">
      <c r="C622">
        <v>598</v>
      </c>
      <c r="D622">
        <v>2486.33</v>
      </c>
      <c r="E622" t="s">
        <v>650</v>
      </c>
      <c r="F622">
        <v>3246.12</v>
      </c>
      <c r="G622" t="s">
        <v>650</v>
      </c>
      <c r="H622">
        <v>4797.3</v>
      </c>
      <c r="I622" t="s">
        <v>650</v>
      </c>
      <c r="K622" t="str">
        <f t="shared" si="12"/>
        <v>No</v>
      </c>
    </row>
    <row r="623" spans="3:11" x14ac:dyDescent="0.3">
      <c r="C623">
        <v>599</v>
      </c>
      <c r="D623">
        <v>2013.02</v>
      </c>
      <c r="E623" t="s">
        <v>650</v>
      </c>
      <c r="F623">
        <v>2559.61</v>
      </c>
      <c r="G623" t="s">
        <v>650</v>
      </c>
      <c r="H623">
        <v>2760.54</v>
      </c>
      <c r="I623" t="s">
        <v>650</v>
      </c>
      <c r="K623" t="str">
        <f t="shared" si="12"/>
        <v>No</v>
      </c>
    </row>
    <row r="624" spans="3:11" x14ac:dyDescent="0.3">
      <c r="C624">
        <v>600</v>
      </c>
      <c r="D624">
        <v>3058.92</v>
      </c>
      <c r="E624" t="s">
        <v>650</v>
      </c>
      <c r="F624">
        <v>3042.73</v>
      </c>
      <c r="G624" t="s">
        <v>650</v>
      </c>
      <c r="H624">
        <v>3337.38</v>
      </c>
      <c r="I624" t="s">
        <v>650</v>
      </c>
      <c r="K624" t="str">
        <f t="shared" si="12"/>
        <v>No</v>
      </c>
    </row>
    <row r="625" spans="3:11" x14ac:dyDescent="0.3">
      <c r="C625">
        <v>601</v>
      </c>
      <c r="D625">
        <v>1880.12</v>
      </c>
      <c r="E625" t="s">
        <v>650</v>
      </c>
      <c r="F625">
        <v>3173.93</v>
      </c>
      <c r="G625" t="s">
        <v>650</v>
      </c>
      <c r="H625">
        <v>4309.33</v>
      </c>
      <c r="I625" t="s">
        <v>650</v>
      </c>
      <c r="K625" t="str">
        <f t="shared" si="12"/>
        <v>No</v>
      </c>
    </row>
    <row r="626" spans="3:11" x14ac:dyDescent="0.3">
      <c r="C626">
        <v>602</v>
      </c>
      <c r="D626">
        <v>3012.43</v>
      </c>
      <c r="E626" t="s">
        <v>650</v>
      </c>
      <c r="F626">
        <v>2757.53</v>
      </c>
      <c r="G626" t="s">
        <v>650</v>
      </c>
      <c r="H626">
        <v>2854.96</v>
      </c>
      <c r="I626" t="s">
        <v>650</v>
      </c>
      <c r="K626" t="str">
        <f t="shared" si="12"/>
        <v>No</v>
      </c>
    </row>
    <row r="627" spans="3:11" x14ac:dyDescent="0.3">
      <c r="C627">
        <v>603</v>
      </c>
      <c r="D627">
        <v>2844.29</v>
      </c>
      <c r="E627" t="s">
        <v>650</v>
      </c>
      <c r="F627">
        <v>2718.07</v>
      </c>
      <c r="G627" t="s">
        <v>650</v>
      </c>
      <c r="H627">
        <v>3446.57</v>
      </c>
      <c r="I627" t="s">
        <v>650</v>
      </c>
      <c r="K627" t="str">
        <f t="shared" si="12"/>
        <v>No</v>
      </c>
    </row>
    <row r="628" spans="3:11" x14ac:dyDescent="0.3">
      <c r="C628">
        <v>604</v>
      </c>
      <c r="D628">
        <v>3898.68</v>
      </c>
      <c r="E628" t="s">
        <v>650</v>
      </c>
      <c r="F628">
        <v>3162.16</v>
      </c>
      <c r="G628" t="s">
        <v>650</v>
      </c>
      <c r="H628">
        <v>3275.14</v>
      </c>
      <c r="I628" t="s">
        <v>650</v>
      </c>
      <c r="K628" t="str">
        <f t="shared" si="12"/>
        <v>No</v>
      </c>
    </row>
    <row r="629" spans="3:11" x14ac:dyDescent="0.3">
      <c r="C629">
        <v>605</v>
      </c>
      <c r="D629">
        <v>3672.89</v>
      </c>
      <c r="E629" t="s">
        <v>650</v>
      </c>
      <c r="F629">
        <v>2249.52</v>
      </c>
      <c r="G629" t="s">
        <v>650</v>
      </c>
      <c r="H629">
        <v>3957.26</v>
      </c>
      <c r="I629" t="s">
        <v>650</v>
      </c>
      <c r="K629" t="str">
        <f t="shared" si="12"/>
        <v>No</v>
      </c>
    </row>
    <row r="630" spans="3:11" x14ac:dyDescent="0.3">
      <c r="C630">
        <v>606</v>
      </c>
      <c r="D630">
        <v>2704.16</v>
      </c>
      <c r="E630" t="s">
        <v>650</v>
      </c>
      <c r="F630">
        <v>2939.54</v>
      </c>
      <c r="G630" t="s">
        <v>650</v>
      </c>
      <c r="H630">
        <v>2870.89</v>
      </c>
      <c r="I630" t="s">
        <v>650</v>
      </c>
      <c r="K630" t="str">
        <f t="shared" si="12"/>
        <v>No</v>
      </c>
    </row>
    <row r="631" spans="3:11" x14ac:dyDescent="0.3">
      <c r="C631">
        <v>607</v>
      </c>
      <c r="D631">
        <v>3493.4</v>
      </c>
      <c r="E631" t="s">
        <v>650</v>
      </c>
      <c r="F631">
        <v>2762.37</v>
      </c>
      <c r="G631" t="s">
        <v>650</v>
      </c>
      <c r="H631">
        <v>3000.39</v>
      </c>
      <c r="I631" t="s">
        <v>650</v>
      </c>
      <c r="K631" t="str">
        <f t="shared" si="12"/>
        <v>No</v>
      </c>
    </row>
    <row r="632" spans="3:11" x14ac:dyDescent="0.3">
      <c r="C632">
        <v>608</v>
      </c>
      <c r="D632">
        <v>4890.2700000000004</v>
      </c>
      <c r="E632" t="s">
        <v>650</v>
      </c>
      <c r="F632">
        <v>2752.53</v>
      </c>
      <c r="G632" t="s">
        <v>650</v>
      </c>
      <c r="H632">
        <v>2799.55</v>
      </c>
      <c r="I632" t="s">
        <v>650</v>
      </c>
      <c r="K632" t="str">
        <f t="shared" si="12"/>
        <v>No</v>
      </c>
    </row>
    <row r="633" spans="3:11" x14ac:dyDescent="0.3">
      <c r="C633">
        <v>609</v>
      </c>
      <c r="D633">
        <v>2910.46</v>
      </c>
      <c r="E633" t="s">
        <v>650</v>
      </c>
      <c r="F633">
        <v>3446.45</v>
      </c>
      <c r="G633" t="s">
        <v>650</v>
      </c>
      <c r="H633">
        <v>4838.3100000000004</v>
      </c>
      <c r="I633" t="s">
        <v>650</v>
      </c>
      <c r="K633" t="str">
        <f t="shared" si="12"/>
        <v>No</v>
      </c>
    </row>
    <row r="634" spans="3:11" x14ac:dyDescent="0.3">
      <c r="C634">
        <v>610</v>
      </c>
      <c r="D634">
        <v>3327.11</v>
      </c>
      <c r="E634" t="s">
        <v>650</v>
      </c>
      <c r="F634">
        <v>4101.97</v>
      </c>
      <c r="G634" t="s">
        <v>650</v>
      </c>
      <c r="H634">
        <v>5393.47</v>
      </c>
      <c r="I634" t="s">
        <v>650</v>
      </c>
      <c r="K634" t="str">
        <f t="shared" si="12"/>
        <v>No</v>
      </c>
    </row>
    <row r="635" spans="3:11" x14ac:dyDescent="0.3">
      <c r="C635">
        <v>611</v>
      </c>
      <c r="D635">
        <v>2335.0500000000002</v>
      </c>
      <c r="E635" t="s">
        <v>650</v>
      </c>
      <c r="F635">
        <v>2625.57</v>
      </c>
      <c r="G635" t="s">
        <v>650</v>
      </c>
      <c r="H635">
        <v>3553.91</v>
      </c>
      <c r="I635" t="s">
        <v>650</v>
      </c>
      <c r="K635" t="str">
        <f t="shared" si="12"/>
        <v>No</v>
      </c>
    </row>
    <row r="636" spans="3:11" x14ac:dyDescent="0.3">
      <c r="C636">
        <v>612</v>
      </c>
      <c r="D636">
        <v>3476.67</v>
      </c>
      <c r="E636" t="s">
        <v>650</v>
      </c>
      <c r="F636">
        <v>3421.59</v>
      </c>
      <c r="G636" t="s">
        <v>650</v>
      </c>
      <c r="H636">
        <v>2395.64</v>
      </c>
      <c r="I636" t="s">
        <v>650</v>
      </c>
      <c r="K636" t="str">
        <f t="shared" si="12"/>
        <v>No</v>
      </c>
    </row>
    <row r="637" spans="3:11" x14ac:dyDescent="0.3">
      <c r="C637">
        <v>613</v>
      </c>
      <c r="D637">
        <v>2914.11</v>
      </c>
      <c r="E637" t="s">
        <v>650</v>
      </c>
      <c r="F637">
        <v>4204.7</v>
      </c>
      <c r="G637" t="s">
        <v>650</v>
      </c>
      <c r="H637">
        <v>2905.27</v>
      </c>
      <c r="I637" t="s">
        <v>650</v>
      </c>
      <c r="K637" t="str">
        <f t="shared" si="12"/>
        <v>No</v>
      </c>
    </row>
    <row r="638" spans="3:11" x14ac:dyDescent="0.3">
      <c r="C638">
        <v>614</v>
      </c>
      <c r="D638">
        <v>2558.94</v>
      </c>
      <c r="E638" t="s">
        <v>650</v>
      </c>
      <c r="F638">
        <v>3522.52</v>
      </c>
      <c r="G638" t="s">
        <v>650</v>
      </c>
      <c r="H638">
        <v>3570.11</v>
      </c>
      <c r="I638" t="s">
        <v>650</v>
      </c>
      <c r="K638" t="str">
        <f t="shared" si="12"/>
        <v>No</v>
      </c>
    </row>
    <row r="639" spans="3:11" x14ac:dyDescent="0.3">
      <c r="C639">
        <v>615</v>
      </c>
      <c r="D639">
        <v>2943.97</v>
      </c>
      <c r="E639" t="s">
        <v>650</v>
      </c>
      <c r="F639">
        <v>2362.46</v>
      </c>
      <c r="G639" t="s">
        <v>650</v>
      </c>
      <c r="H639">
        <v>2401.5300000000002</v>
      </c>
      <c r="I639" t="s">
        <v>650</v>
      </c>
      <c r="K639" t="str">
        <f t="shared" si="12"/>
        <v>No</v>
      </c>
    </row>
    <row r="640" spans="3:11" x14ac:dyDescent="0.3">
      <c r="C640">
        <v>616</v>
      </c>
      <c r="D640">
        <v>2353.71</v>
      </c>
      <c r="E640" t="s">
        <v>650</v>
      </c>
      <c r="F640">
        <v>2556.21</v>
      </c>
      <c r="G640" t="s">
        <v>650</v>
      </c>
      <c r="H640">
        <v>2109.25</v>
      </c>
      <c r="I640" t="s">
        <v>650</v>
      </c>
      <c r="K640" t="str">
        <f t="shared" si="12"/>
        <v>No</v>
      </c>
    </row>
    <row r="641" spans="3:11" x14ac:dyDescent="0.3">
      <c r="C641">
        <v>617</v>
      </c>
      <c r="D641">
        <v>3283.08</v>
      </c>
      <c r="E641" t="s">
        <v>650</v>
      </c>
      <c r="F641">
        <v>3891.57</v>
      </c>
      <c r="G641" t="s">
        <v>650</v>
      </c>
      <c r="H641">
        <v>3580.71</v>
      </c>
      <c r="I641" t="s">
        <v>650</v>
      </c>
      <c r="K641" t="str">
        <f t="shared" si="12"/>
        <v>No</v>
      </c>
    </row>
    <row r="642" spans="3:11" x14ac:dyDescent="0.3">
      <c r="C642">
        <v>618</v>
      </c>
      <c r="D642">
        <v>2215.5100000000002</v>
      </c>
      <c r="E642" t="s">
        <v>650</v>
      </c>
      <c r="F642">
        <v>2390.79</v>
      </c>
      <c r="G642" t="s">
        <v>650</v>
      </c>
      <c r="H642">
        <v>6062.7</v>
      </c>
      <c r="I642" t="s">
        <v>650</v>
      </c>
      <c r="K642" t="str">
        <f t="shared" si="12"/>
        <v>No</v>
      </c>
    </row>
    <row r="643" spans="3:11" x14ac:dyDescent="0.3">
      <c r="C643">
        <v>619</v>
      </c>
      <c r="D643">
        <v>2790.47</v>
      </c>
      <c r="E643" t="s">
        <v>650</v>
      </c>
      <c r="F643">
        <v>3811.93</v>
      </c>
      <c r="G643" t="s">
        <v>650</v>
      </c>
      <c r="H643">
        <v>2679.37</v>
      </c>
      <c r="I643" t="s">
        <v>650</v>
      </c>
      <c r="K643" t="str">
        <f t="shared" si="12"/>
        <v>No</v>
      </c>
    </row>
    <row r="644" spans="3:11" x14ac:dyDescent="0.3">
      <c r="C644">
        <v>620</v>
      </c>
      <c r="D644">
        <v>2854.31</v>
      </c>
      <c r="E644" t="s">
        <v>650</v>
      </c>
      <c r="F644">
        <v>3198.59</v>
      </c>
      <c r="G644" t="s">
        <v>650</v>
      </c>
      <c r="H644">
        <v>2646.58</v>
      </c>
      <c r="I644" t="s">
        <v>650</v>
      </c>
      <c r="K644" t="str">
        <f t="shared" si="12"/>
        <v>No</v>
      </c>
    </row>
    <row r="645" spans="3:11" x14ac:dyDescent="0.3">
      <c r="C645">
        <v>621</v>
      </c>
      <c r="D645">
        <v>3950.01</v>
      </c>
      <c r="E645" t="s">
        <v>650</v>
      </c>
      <c r="F645">
        <v>2286.89</v>
      </c>
      <c r="G645" t="s">
        <v>650</v>
      </c>
      <c r="H645">
        <v>2829.73</v>
      </c>
      <c r="I645" t="s">
        <v>650</v>
      </c>
      <c r="K645" t="str">
        <f t="shared" si="12"/>
        <v>No</v>
      </c>
    </row>
    <row r="646" spans="3:11" x14ac:dyDescent="0.3">
      <c r="C646">
        <v>622</v>
      </c>
      <c r="D646">
        <v>2658.31</v>
      </c>
      <c r="E646" t="s">
        <v>650</v>
      </c>
      <c r="F646">
        <v>3432.93</v>
      </c>
      <c r="G646" t="s">
        <v>650</v>
      </c>
      <c r="H646">
        <v>4836.18</v>
      </c>
      <c r="I646" t="s">
        <v>650</v>
      </c>
      <c r="K646" t="str">
        <f t="shared" si="12"/>
        <v>No</v>
      </c>
    </row>
    <row r="647" spans="3:11" x14ac:dyDescent="0.3">
      <c r="C647">
        <v>623</v>
      </c>
      <c r="D647">
        <v>2629.27</v>
      </c>
      <c r="E647" t="s">
        <v>650</v>
      </c>
      <c r="F647">
        <v>3342.38</v>
      </c>
      <c r="G647" t="s">
        <v>650</v>
      </c>
      <c r="H647">
        <v>4178.1899999999996</v>
      </c>
      <c r="I647" t="s">
        <v>650</v>
      </c>
      <c r="K647" t="str">
        <f t="shared" si="12"/>
        <v>No</v>
      </c>
    </row>
    <row r="648" spans="3:11" x14ac:dyDescent="0.3">
      <c r="C648">
        <v>624</v>
      </c>
      <c r="D648">
        <v>2938.98</v>
      </c>
      <c r="E648" t="s">
        <v>650</v>
      </c>
      <c r="F648">
        <v>3590.13</v>
      </c>
      <c r="G648" t="s">
        <v>650</v>
      </c>
      <c r="H648">
        <v>3374.73</v>
      </c>
      <c r="I648" t="s">
        <v>650</v>
      </c>
      <c r="K648" t="str">
        <f t="shared" si="12"/>
        <v>No</v>
      </c>
    </row>
    <row r="649" spans="3:11" x14ac:dyDescent="0.3">
      <c r="C649">
        <v>625</v>
      </c>
      <c r="D649">
        <v>2688.79</v>
      </c>
      <c r="E649" t="s">
        <v>650</v>
      </c>
      <c r="F649">
        <v>2639.88</v>
      </c>
      <c r="G649" t="s">
        <v>650</v>
      </c>
      <c r="H649">
        <v>4542.8500000000004</v>
      </c>
      <c r="I649" t="s">
        <v>650</v>
      </c>
      <c r="K649" t="str">
        <f t="shared" si="12"/>
        <v>No</v>
      </c>
    </row>
    <row r="650" spans="3:11" x14ac:dyDescent="0.3">
      <c r="C650">
        <v>626</v>
      </c>
      <c r="D650">
        <v>3737.31</v>
      </c>
      <c r="E650" t="s">
        <v>650</v>
      </c>
      <c r="F650">
        <v>3071.74</v>
      </c>
      <c r="G650" t="s">
        <v>650</v>
      </c>
      <c r="H650">
        <v>4602.63</v>
      </c>
      <c r="I650" t="s">
        <v>650</v>
      </c>
      <c r="K650" t="str">
        <f t="shared" si="12"/>
        <v>No</v>
      </c>
    </row>
    <row r="651" spans="3:11" x14ac:dyDescent="0.3">
      <c r="C651">
        <v>627</v>
      </c>
      <c r="D651">
        <v>1904.22</v>
      </c>
      <c r="E651" t="s">
        <v>650</v>
      </c>
      <c r="F651">
        <v>2833.14</v>
      </c>
      <c r="G651" t="s">
        <v>650</v>
      </c>
      <c r="H651">
        <v>4214.3100000000004</v>
      </c>
      <c r="I651" t="s">
        <v>650</v>
      </c>
      <c r="K651" t="str">
        <f t="shared" si="12"/>
        <v>No</v>
      </c>
    </row>
    <row r="652" spans="3:11" x14ac:dyDescent="0.3">
      <c r="C652">
        <v>628</v>
      </c>
      <c r="D652">
        <v>2773.36</v>
      </c>
      <c r="E652" t="s">
        <v>650</v>
      </c>
      <c r="F652">
        <v>3406.47</v>
      </c>
      <c r="G652" t="s">
        <v>650</v>
      </c>
      <c r="H652">
        <v>3581.27</v>
      </c>
      <c r="I652" t="s">
        <v>650</v>
      </c>
      <c r="K652" t="str">
        <f t="shared" si="12"/>
        <v>No</v>
      </c>
    </row>
    <row r="653" spans="3:11" x14ac:dyDescent="0.3">
      <c r="C653">
        <v>629</v>
      </c>
      <c r="D653">
        <v>2649.6</v>
      </c>
      <c r="E653" t="s">
        <v>650</v>
      </c>
      <c r="F653">
        <v>3614.31</v>
      </c>
      <c r="G653" t="s">
        <v>650</v>
      </c>
      <c r="H653">
        <v>2638.54</v>
      </c>
      <c r="I653" t="s">
        <v>650</v>
      </c>
      <c r="K653" t="str">
        <f t="shared" si="12"/>
        <v>No</v>
      </c>
    </row>
    <row r="654" spans="3:11" x14ac:dyDescent="0.3">
      <c r="C654">
        <v>630</v>
      </c>
      <c r="D654">
        <v>2631.93</v>
      </c>
      <c r="E654" t="s">
        <v>650</v>
      </c>
      <c r="F654">
        <v>1802.09</v>
      </c>
      <c r="G654" t="s">
        <v>650</v>
      </c>
      <c r="H654">
        <v>3956.54</v>
      </c>
      <c r="I654" t="s">
        <v>650</v>
      </c>
      <c r="K654" t="str">
        <f t="shared" si="12"/>
        <v>No</v>
      </c>
    </row>
    <row r="655" spans="3:11" x14ac:dyDescent="0.3">
      <c r="C655">
        <v>631</v>
      </c>
      <c r="D655">
        <v>1630.7</v>
      </c>
      <c r="E655" t="s">
        <v>650</v>
      </c>
      <c r="F655">
        <v>2064.23</v>
      </c>
      <c r="G655" t="s">
        <v>650</v>
      </c>
      <c r="H655">
        <v>2484.1</v>
      </c>
      <c r="I655" t="s">
        <v>650</v>
      </c>
      <c r="K655" t="str">
        <f t="shared" si="12"/>
        <v>No</v>
      </c>
    </row>
    <row r="656" spans="3:11" x14ac:dyDescent="0.3">
      <c r="C656">
        <v>632</v>
      </c>
      <c r="D656">
        <v>3749.55</v>
      </c>
      <c r="E656" t="s">
        <v>650</v>
      </c>
      <c r="F656">
        <v>3235.02</v>
      </c>
      <c r="G656" t="s">
        <v>650</v>
      </c>
      <c r="H656">
        <v>4788.04</v>
      </c>
      <c r="I656" t="s">
        <v>650</v>
      </c>
      <c r="K656" t="str">
        <f t="shared" si="12"/>
        <v>No</v>
      </c>
    </row>
    <row r="657" spans="3:11" x14ac:dyDescent="0.3">
      <c r="C657">
        <v>633</v>
      </c>
      <c r="D657">
        <v>2347.83</v>
      </c>
      <c r="E657" t="s">
        <v>650</v>
      </c>
      <c r="F657">
        <v>3342.29</v>
      </c>
      <c r="G657" t="s">
        <v>650</v>
      </c>
      <c r="H657">
        <v>2829.57</v>
      </c>
      <c r="I657" t="s">
        <v>650</v>
      </c>
      <c r="K657" t="str">
        <f t="shared" si="12"/>
        <v>No</v>
      </c>
    </row>
    <row r="658" spans="3:11" x14ac:dyDescent="0.3">
      <c r="C658">
        <v>634</v>
      </c>
      <c r="D658">
        <v>1872.83</v>
      </c>
      <c r="E658" t="s">
        <v>650</v>
      </c>
      <c r="F658">
        <v>2941.03</v>
      </c>
      <c r="G658" t="s">
        <v>650</v>
      </c>
      <c r="H658">
        <v>4235.1099999999997</v>
      </c>
      <c r="I658" t="s">
        <v>650</v>
      </c>
      <c r="K658" t="str">
        <f t="shared" si="12"/>
        <v>No</v>
      </c>
    </row>
    <row r="659" spans="3:11" x14ac:dyDescent="0.3">
      <c r="C659">
        <v>635</v>
      </c>
      <c r="D659">
        <v>2259.5</v>
      </c>
      <c r="E659" t="s">
        <v>650</v>
      </c>
      <c r="F659">
        <v>2763.85</v>
      </c>
      <c r="G659" t="s">
        <v>650</v>
      </c>
      <c r="H659">
        <v>2303.37</v>
      </c>
      <c r="I659" t="s">
        <v>650</v>
      </c>
      <c r="K659" t="str">
        <f t="shared" si="12"/>
        <v>No</v>
      </c>
    </row>
    <row r="660" spans="3:11" x14ac:dyDescent="0.3">
      <c r="C660">
        <v>636</v>
      </c>
      <c r="D660">
        <v>2517.44</v>
      </c>
      <c r="E660" t="s">
        <v>650</v>
      </c>
      <c r="F660">
        <v>2128.0500000000002</v>
      </c>
      <c r="G660" t="s">
        <v>650</v>
      </c>
      <c r="H660">
        <v>4000.72</v>
      </c>
      <c r="I660" t="s">
        <v>650</v>
      </c>
      <c r="K660" t="str">
        <f t="shared" si="12"/>
        <v>No</v>
      </c>
    </row>
    <row r="661" spans="3:11" x14ac:dyDescent="0.3">
      <c r="C661">
        <v>637</v>
      </c>
      <c r="D661">
        <v>3312.34</v>
      </c>
      <c r="E661" t="s">
        <v>650</v>
      </c>
      <c r="F661">
        <v>3070.71</v>
      </c>
      <c r="G661" t="s">
        <v>650</v>
      </c>
      <c r="H661">
        <v>4172.3900000000003</v>
      </c>
      <c r="I661" t="s">
        <v>650</v>
      </c>
      <c r="K661" t="str">
        <f t="shared" si="12"/>
        <v>No</v>
      </c>
    </row>
    <row r="662" spans="3:11" x14ac:dyDescent="0.3">
      <c r="C662">
        <v>638</v>
      </c>
      <c r="D662">
        <v>3456.18</v>
      </c>
      <c r="E662" t="s">
        <v>650</v>
      </c>
      <c r="F662">
        <v>2923.36</v>
      </c>
      <c r="G662" t="s">
        <v>650</v>
      </c>
      <c r="H662">
        <v>1744.85</v>
      </c>
      <c r="I662" t="s">
        <v>650</v>
      </c>
      <c r="K662" t="str">
        <f t="shared" si="12"/>
        <v>No</v>
      </c>
    </row>
    <row r="663" spans="3:11" x14ac:dyDescent="0.3">
      <c r="C663">
        <v>639</v>
      </c>
      <c r="D663">
        <v>2444.9499999999998</v>
      </c>
      <c r="E663" t="s">
        <v>650</v>
      </c>
      <c r="F663">
        <v>2855.19</v>
      </c>
      <c r="G663" t="s">
        <v>650</v>
      </c>
      <c r="H663">
        <v>3626.44</v>
      </c>
      <c r="I663" t="s">
        <v>650</v>
      </c>
      <c r="K663" t="str">
        <f t="shared" si="12"/>
        <v>No</v>
      </c>
    </row>
    <row r="664" spans="3:11" x14ac:dyDescent="0.3">
      <c r="C664">
        <v>640</v>
      </c>
      <c r="D664">
        <v>2725.93</v>
      </c>
      <c r="E664" t="s">
        <v>650</v>
      </c>
      <c r="F664">
        <v>3520.45</v>
      </c>
      <c r="G664" t="s">
        <v>650</v>
      </c>
      <c r="H664">
        <v>3551.82</v>
      </c>
      <c r="I664" t="s">
        <v>650</v>
      </c>
      <c r="K664" t="str">
        <f t="shared" si="12"/>
        <v>No</v>
      </c>
    </row>
    <row r="665" spans="3:11" x14ac:dyDescent="0.3">
      <c r="C665">
        <v>641</v>
      </c>
      <c r="D665">
        <v>1856.24</v>
      </c>
      <c r="E665" t="s">
        <v>650</v>
      </c>
      <c r="F665">
        <v>3850.97</v>
      </c>
      <c r="G665" t="s">
        <v>650</v>
      </c>
      <c r="H665">
        <v>3697.58</v>
      </c>
      <c r="I665" t="s">
        <v>650</v>
      </c>
      <c r="K665" t="str">
        <f t="shared" ref="K665:K728" si="13">IF(AND(E665="No",G665="No",I665="No"),"No","Yes")</f>
        <v>No</v>
      </c>
    </row>
    <row r="666" spans="3:11" x14ac:dyDescent="0.3">
      <c r="C666">
        <v>642</v>
      </c>
      <c r="D666">
        <v>2913.5</v>
      </c>
      <c r="E666" t="s">
        <v>650</v>
      </c>
      <c r="F666">
        <v>2860.11</v>
      </c>
      <c r="G666" t="s">
        <v>650</v>
      </c>
      <c r="H666">
        <v>3414.96</v>
      </c>
      <c r="I666" t="s">
        <v>650</v>
      </c>
      <c r="K666" t="str">
        <f t="shared" si="13"/>
        <v>No</v>
      </c>
    </row>
    <row r="667" spans="3:11" x14ac:dyDescent="0.3">
      <c r="C667">
        <v>643</v>
      </c>
      <c r="D667">
        <v>2079.89</v>
      </c>
      <c r="E667" t="s">
        <v>650</v>
      </c>
      <c r="F667">
        <v>4042.78</v>
      </c>
      <c r="G667" t="s">
        <v>650</v>
      </c>
      <c r="H667">
        <v>4518.18</v>
      </c>
      <c r="I667" t="s">
        <v>650</v>
      </c>
      <c r="K667" t="str">
        <f t="shared" si="13"/>
        <v>No</v>
      </c>
    </row>
    <row r="668" spans="3:11" x14ac:dyDescent="0.3">
      <c r="C668">
        <v>644</v>
      </c>
      <c r="D668">
        <v>3524.61</v>
      </c>
      <c r="E668" t="s">
        <v>650</v>
      </c>
      <c r="F668">
        <v>2455.6999999999998</v>
      </c>
      <c r="G668" t="s">
        <v>650</v>
      </c>
      <c r="H668">
        <v>4161.29</v>
      </c>
      <c r="I668" t="s">
        <v>650</v>
      </c>
      <c r="K668" t="str">
        <f t="shared" si="13"/>
        <v>No</v>
      </c>
    </row>
    <row r="669" spans="3:11" x14ac:dyDescent="0.3">
      <c r="C669">
        <v>645</v>
      </c>
      <c r="D669">
        <v>2519.77</v>
      </c>
      <c r="E669" t="s">
        <v>650</v>
      </c>
      <c r="F669">
        <v>3001.11</v>
      </c>
      <c r="G669" t="s">
        <v>650</v>
      </c>
      <c r="H669">
        <v>3373.55</v>
      </c>
      <c r="I669" t="s">
        <v>650</v>
      </c>
      <c r="K669" t="str">
        <f t="shared" si="13"/>
        <v>No</v>
      </c>
    </row>
    <row r="670" spans="3:11" x14ac:dyDescent="0.3">
      <c r="C670">
        <v>646</v>
      </c>
      <c r="D670">
        <v>2207.3000000000002</v>
      </c>
      <c r="E670" t="s">
        <v>650</v>
      </c>
      <c r="F670">
        <v>2949.21</v>
      </c>
      <c r="G670" t="s">
        <v>650</v>
      </c>
      <c r="H670">
        <v>4632.58</v>
      </c>
      <c r="I670" t="s">
        <v>650</v>
      </c>
      <c r="K670" t="str">
        <f t="shared" si="13"/>
        <v>No</v>
      </c>
    </row>
    <row r="671" spans="3:11" x14ac:dyDescent="0.3">
      <c r="C671">
        <v>647</v>
      </c>
      <c r="D671">
        <v>3087.37</v>
      </c>
      <c r="E671" t="s">
        <v>650</v>
      </c>
      <c r="F671">
        <v>4184.87</v>
      </c>
      <c r="G671" t="s">
        <v>650</v>
      </c>
      <c r="H671">
        <v>2495.38</v>
      </c>
      <c r="I671" t="s">
        <v>650</v>
      </c>
      <c r="K671" t="str">
        <f t="shared" si="13"/>
        <v>No</v>
      </c>
    </row>
    <row r="672" spans="3:11" x14ac:dyDescent="0.3">
      <c r="C672">
        <v>648</v>
      </c>
      <c r="D672">
        <v>2932.28</v>
      </c>
      <c r="E672" t="s">
        <v>650</v>
      </c>
      <c r="F672">
        <v>3093.54</v>
      </c>
      <c r="G672" t="s">
        <v>650</v>
      </c>
      <c r="H672">
        <v>3024.56</v>
      </c>
      <c r="I672" t="s">
        <v>650</v>
      </c>
      <c r="K672" t="str">
        <f t="shared" si="13"/>
        <v>No</v>
      </c>
    </row>
    <row r="673" spans="3:11" x14ac:dyDescent="0.3">
      <c r="C673">
        <v>649</v>
      </c>
      <c r="D673">
        <v>3680.7</v>
      </c>
      <c r="E673" t="s">
        <v>650</v>
      </c>
      <c r="F673">
        <v>4226.78</v>
      </c>
      <c r="G673" t="s">
        <v>650</v>
      </c>
      <c r="H673">
        <v>3316.01</v>
      </c>
      <c r="I673" t="s">
        <v>650</v>
      </c>
      <c r="K673" t="str">
        <f t="shared" si="13"/>
        <v>No</v>
      </c>
    </row>
    <row r="674" spans="3:11" x14ac:dyDescent="0.3">
      <c r="C674">
        <v>650</v>
      </c>
      <c r="D674">
        <v>3130.54</v>
      </c>
      <c r="E674" t="s">
        <v>650</v>
      </c>
      <c r="F674">
        <v>2524.0100000000002</v>
      </c>
      <c r="G674" t="s">
        <v>650</v>
      </c>
      <c r="H674">
        <v>2836.69</v>
      </c>
      <c r="I674" t="s">
        <v>650</v>
      </c>
      <c r="K674" t="str">
        <f t="shared" si="13"/>
        <v>No</v>
      </c>
    </row>
    <row r="675" spans="3:11" x14ac:dyDescent="0.3">
      <c r="C675">
        <v>651</v>
      </c>
      <c r="D675">
        <v>3592.7</v>
      </c>
      <c r="E675" t="s">
        <v>650</v>
      </c>
      <c r="F675">
        <v>2804.14</v>
      </c>
      <c r="G675" t="s">
        <v>650</v>
      </c>
      <c r="H675">
        <v>4395.3</v>
      </c>
      <c r="I675" t="s">
        <v>650</v>
      </c>
      <c r="K675" t="str">
        <f t="shared" si="13"/>
        <v>No</v>
      </c>
    </row>
    <row r="676" spans="3:11" x14ac:dyDescent="0.3">
      <c r="C676">
        <v>652</v>
      </c>
      <c r="D676">
        <v>3040.49</v>
      </c>
      <c r="E676" t="s">
        <v>650</v>
      </c>
      <c r="F676">
        <v>3044.25</v>
      </c>
      <c r="G676" t="s">
        <v>650</v>
      </c>
      <c r="H676">
        <v>2712.66</v>
      </c>
      <c r="I676" t="s">
        <v>650</v>
      </c>
      <c r="K676" t="str">
        <f t="shared" si="13"/>
        <v>No</v>
      </c>
    </row>
    <row r="677" spans="3:11" x14ac:dyDescent="0.3">
      <c r="C677">
        <v>653</v>
      </c>
      <c r="D677">
        <v>2312.5</v>
      </c>
      <c r="E677" t="s">
        <v>650</v>
      </c>
      <c r="F677">
        <v>3534.58</v>
      </c>
      <c r="G677" t="s">
        <v>650</v>
      </c>
      <c r="H677">
        <v>1440.28</v>
      </c>
      <c r="I677" t="s">
        <v>650</v>
      </c>
      <c r="K677" t="str">
        <f t="shared" si="13"/>
        <v>No</v>
      </c>
    </row>
    <row r="678" spans="3:11" x14ac:dyDescent="0.3">
      <c r="C678">
        <v>654</v>
      </c>
      <c r="D678">
        <v>3562.01</v>
      </c>
      <c r="E678" t="s">
        <v>650</v>
      </c>
      <c r="F678">
        <v>3054.13</v>
      </c>
      <c r="G678" t="s">
        <v>650</v>
      </c>
      <c r="H678">
        <v>3775.25</v>
      </c>
      <c r="I678" t="s">
        <v>650</v>
      </c>
      <c r="K678" t="str">
        <f t="shared" si="13"/>
        <v>No</v>
      </c>
    </row>
    <row r="679" spans="3:11" x14ac:dyDescent="0.3">
      <c r="C679">
        <v>655</v>
      </c>
      <c r="D679">
        <v>3529.12</v>
      </c>
      <c r="E679" t="s">
        <v>650</v>
      </c>
      <c r="F679">
        <v>1904.43</v>
      </c>
      <c r="G679" t="s">
        <v>650</v>
      </c>
      <c r="H679">
        <v>882.53</v>
      </c>
      <c r="I679" t="s">
        <v>650</v>
      </c>
      <c r="K679" t="str">
        <f t="shared" si="13"/>
        <v>No</v>
      </c>
    </row>
    <row r="680" spans="3:11" x14ac:dyDescent="0.3">
      <c r="C680">
        <v>656</v>
      </c>
      <c r="D680">
        <v>3201.98</v>
      </c>
      <c r="E680" t="s">
        <v>650</v>
      </c>
      <c r="F680">
        <v>3615.52</v>
      </c>
      <c r="G680" t="s">
        <v>650</v>
      </c>
      <c r="H680">
        <v>2828.3</v>
      </c>
      <c r="I680" t="s">
        <v>650</v>
      </c>
      <c r="K680" t="str">
        <f t="shared" si="13"/>
        <v>No</v>
      </c>
    </row>
    <row r="681" spans="3:11" x14ac:dyDescent="0.3">
      <c r="C681">
        <v>657</v>
      </c>
      <c r="D681">
        <v>2555.41</v>
      </c>
      <c r="E681" t="s">
        <v>650</v>
      </c>
      <c r="F681">
        <v>2014.06</v>
      </c>
      <c r="G681" t="s">
        <v>650</v>
      </c>
      <c r="H681">
        <v>4032.58</v>
      </c>
      <c r="I681" t="s">
        <v>650</v>
      </c>
      <c r="K681" t="str">
        <f t="shared" si="13"/>
        <v>No</v>
      </c>
    </row>
    <row r="682" spans="3:11" x14ac:dyDescent="0.3">
      <c r="C682">
        <v>658</v>
      </c>
      <c r="D682">
        <v>3422.16</v>
      </c>
      <c r="E682" t="s">
        <v>650</v>
      </c>
      <c r="F682">
        <v>3283.03</v>
      </c>
      <c r="G682" t="s">
        <v>650</v>
      </c>
      <c r="H682">
        <v>2936.17</v>
      </c>
      <c r="I682" t="s">
        <v>650</v>
      </c>
      <c r="K682" t="str">
        <f t="shared" si="13"/>
        <v>No</v>
      </c>
    </row>
    <row r="683" spans="3:11" x14ac:dyDescent="0.3">
      <c r="C683">
        <v>659</v>
      </c>
      <c r="D683">
        <v>2335.6799999999998</v>
      </c>
      <c r="E683" t="s">
        <v>650</v>
      </c>
      <c r="F683">
        <v>3647.68</v>
      </c>
      <c r="G683" t="s">
        <v>650</v>
      </c>
      <c r="H683">
        <v>1928.51</v>
      </c>
      <c r="I683" t="s">
        <v>650</v>
      </c>
      <c r="K683" t="str">
        <f t="shared" si="13"/>
        <v>No</v>
      </c>
    </row>
    <row r="684" spans="3:11" x14ac:dyDescent="0.3">
      <c r="C684">
        <v>660</v>
      </c>
      <c r="D684">
        <v>2607.16</v>
      </c>
      <c r="E684" t="s">
        <v>650</v>
      </c>
      <c r="F684">
        <v>2733.24</v>
      </c>
      <c r="G684" t="s">
        <v>650</v>
      </c>
      <c r="H684">
        <v>2599.77</v>
      </c>
      <c r="I684" t="s">
        <v>650</v>
      </c>
      <c r="K684" t="str">
        <f t="shared" si="13"/>
        <v>No</v>
      </c>
    </row>
    <row r="685" spans="3:11" x14ac:dyDescent="0.3">
      <c r="C685">
        <v>661</v>
      </c>
      <c r="D685">
        <v>2791.53</v>
      </c>
      <c r="E685" t="s">
        <v>650</v>
      </c>
      <c r="F685">
        <v>3436.51</v>
      </c>
      <c r="G685" t="s">
        <v>650</v>
      </c>
      <c r="H685">
        <v>2506.2199999999998</v>
      </c>
      <c r="I685" t="s">
        <v>650</v>
      </c>
      <c r="K685" t="str">
        <f t="shared" si="13"/>
        <v>No</v>
      </c>
    </row>
    <row r="686" spans="3:11" x14ac:dyDescent="0.3">
      <c r="C686">
        <v>662</v>
      </c>
      <c r="D686">
        <v>2247.8200000000002</v>
      </c>
      <c r="E686" t="s">
        <v>650</v>
      </c>
      <c r="F686">
        <v>2501.54</v>
      </c>
      <c r="G686" t="s">
        <v>650</v>
      </c>
      <c r="H686">
        <v>4319.3500000000004</v>
      </c>
      <c r="I686" t="s">
        <v>650</v>
      </c>
      <c r="K686" t="str">
        <f t="shared" si="13"/>
        <v>No</v>
      </c>
    </row>
    <row r="687" spans="3:11" x14ac:dyDescent="0.3">
      <c r="C687">
        <v>663</v>
      </c>
      <c r="D687">
        <v>3868.97</v>
      </c>
      <c r="E687" t="s">
        <v>650</v>
      </c>
      <c r="F687">
        <v>4035.76</v>
      </c>
      <c r="G687" t="s">
        <v>650</v>
      </c>
      <c r="H687">
        <v>2112.0300000000002</v>
      </c>
      <c r="I687" t="s">
        <v>650</v>
      </c>
      <c r="K687" t="str">
        <f t="shared" si="13"/>
        <v>No</v>
      </c>
    </row>
    <row r="688" spans="3:11" x14ac:dyDescent="0.3">
      <c r="C688">
        <v>664</v>
      </c>
      <c r="D688">
        <v>3503.08</v>
      </c>
      <c r="E688" t="s">
        <v>650</v>
      </c>
      <c r="F688">
        <v>2913.11</v>
      </c>
      <c r="G688" t="s">
        <v>650</v>
      </c>
      <c r="H688">
        <v>3264.66</v>
      </c>
      <c r="I688" t="s">
        <v>650</v>
      </c>
      <c r="K688" t="str">
        <f t="shared" si="13"/>
        <v>No</v>
      </c>
    </row>
    <row r="689" spans="3:11" x14ac:dyDescent="0.3">
      <c r="C689">
        <v>665</v>
      </c>
      <c r="D689">
        <v>3201.84</v>
      </c>
      <c r="E689" t="s">
        <v>650</v>
      </c>
      <c r="F689">
        <v>2114.0100000000002</v>
      </c>
      <c r="G689" t="s">
        <v>650</v>
      </c>
      <c r="H689">
        <v>3012.83</v>
      </c>
      <c r="I689" t="s">
        <v>650</v>
      </c>
      <c r="K689" t="str">
        <f t="shared" si="13"/>
        <v>No</v>
      </c>
    </row>
    <row r="690" spans="3:11" x14ac:dyDescent="0.3">
      <c r="C690">
        <v>666</v>
      </c>
      <c r="D690">
        <v>2611.94</v>
      </c>
      <c r="E690" t="s">
        <v>650</v>
      </c>
      <c r="F690">
        <v>2746.52</v>
      </c>
      <c r="G690" t="s">
        <v>650</v>
      </c>
      <c r="H690">
        <v>2640.22</v>
      </c>
      <c r="I690" t="s">
        <v>650</v>
      </c>
      <c r="K690" t="str">
        <f t="shared" si="13"/>
        <v>No</v>
      </c>
    </row>
    <row r="691" spans="3:11" x14ac:dyDescent="0.3">
      <c r="C691">
        <v>667</v>
      </c>
      <c r="D691">
        <v>3722.98</v>
      </c>
      <c r="E691" t="s">
        <v>650</v>
      </c>
      <c r="F691">
        <v>2793.24</v>
      </c>
      <c r="G691" t="s">
        <v>650</v>
      </c>
      <c r="H691">
        <v>3030.03</v>
      </c>
      <c r="I691" t="s">
        <v>650</v>
      </c>
      <c r="K691" t="str">
        <f t="shared" si="13"/>
        <v>No</v>
      </c>
    </row>
    <row r="692" spans="3:11" x14ac:dyDescent="0.3">
      <c r="C692">
        <v>668</v>
      </c>
      <c r="D692">
        <v>1923.19</v>
      </c>
      <c r="E692" t="s">
        <v>650</v>
      </c>
      <c r="F692">
        <v>2943.68</v>
      </c>
      <c r="G692" t="s">
        <v>650</v>
      </c>
      <c r="H692">
        <v>2872.86</v>
      </c>
      <c r="I692" t="s">
        <v>650</v>
      </c>
      <c r="K692" t="str">
        <f t="shared" si="13"/>
        <v>No</v>
      </c>
    </row>
    <row r="693" spans="3:11" x14ac:dyDescent="0.3">
      <c r="C693">
        <v>669</v>
      </c>
      <c r="D693">
        <v>3422.89</v>
      </c>
      <c r="E693" t="s">
        <v>650</v>
      </c>
      <c r="F693">
        <v>3247.15</v>
      </c>
      <c r="G693" t="s">
        <v>650</v>
      </c>
      <c r="H693">
        <v>2533.21</v>
      </c>
      <c r="I693" t="s">
        <v>650</v>
      </c>
      <c r="K693" t="str">
        <f t="shared" si="13"/>
        <v>No</v>
      </c>
    </row>
    <row r="694" spans="3:11" x14ac:dyDescent="0.3">
      <c r="C694">
        <v>670</v>
      </c>
      <c r="D694">
        <v>2395.33</v>
      </c>
      <c r="E694" t="s">
        <v>650</v>
      </c>
      <c r="F694">
        <v>3451.5</v>
      </c>
      <c r="G694" t="s">
        <v>650</v>
      </c>
      <c r="H694">
        <v>3301.79</v>
      </c>
      <c r="I694" t="s">
        <v>650</v>
      </c>
      <c r="K694" t="str">
        <f t="shared" si="13"/>
        <v>No</v>
      </c>
    </row>
    <row r="695" spans="3:11" x14ac:dyDescent="0.3">
      <c r="C695">
        <v>671</v>
      </c>
      <c r="D695">
        <v>2769.27</v>
      </c>
      <c r="E695" t="s">
        <v>650</v>
      </c>
      <c r="F695">
        <v>3437.27</v>
      </c>
      <c r="G695" t="s">
        <v>650</v>
      </c>
      <c r="H695">
        <v>2493.1799999999998</v>
      </c>
      <c r="I695" t="s">
        <v>650</v>
      </c>
      <c r="K695" t="str">
        <f t="shared" si="13"/>
        <v>No</v>
      </c>
    </row>
    <row r="696" spans="3:11" x14ac:dyDescent="0.3">
      <c r="C696">
        <v>672</v>
      </c>
      <c r="D696">
        <v>3166.12</v>
      </c>
      <c r="E696" t="s">
        <v>650</v>
      </c>
      <c r="F696">
        <v>1678.41</v>
      </c>
      <c r="G696" t="s">
        <v>650</v>
      </c>
      <c r="H696">
        <v>3714.25</v>
      </c>
      <c r="I696" t="s">
        <v>650</v>
      </c>
      <c r="K696" t="str">
        <f t="shared" si="13"/>
        <v>No</v>
      </c>
    </row>
    <row r="697" spans="3:11" x14ac:dyDescent="0.3">
      <c r="C697">
        <v>673</v>
      </c>
      <c r="D697">
        <v>2908.73</v>
      </c>
      <c r="E697" t="s">
        <v>650</v>
      </c>
      <c r="F697">
        <v>2807.65</v>
      </c>
      <c r="G697" t="s">
        <v>650</v>
      </c>
      <c r="H697">
        <v>3196.78</v>
      </c>
      <c r="I697" t="s">
        <v>650</v>
      </c>
      <c r="K697" t="str">
        <f t="shared" si="13"/>
        <v>No</v>
      </c>
    </row>
    <row r="698" spans="3:11" x14ac:dyDescent="0.3">
      <c r="C698">
        <v>674</v>
      </c>
      <c r="D698">
        <v>3435.06</v>
      </c>
      <c r="E698" t="s">
        <v>650</v>
      </c>
      <c r="F698">
        <v>2493.48</v>
      </c>
      <c r="G698" t="s">
        <v>650</v>
      </c>
      <c r="H698">
        <v>2913.2</v>
      </c>
      <c r="I698" t="s">
        <v>650</v>
      </c>
      <c r="K698" t="str">
        <f t="shared" si="13"/>
        <v>No</v>
      </c>
    </row>
    <row r="699" spans="3:11" x14ac:dyDescent="0.3">
      <c r="C699">
        <v>675</v>
      </c>
      <c r="D699">
        <v>3289.37</v>
      </c>
      <c r="E699" t="s">
        <v>650</v>
      </c>
      <c r="F699">
        <v>2945.88</v>
      </c>
      <c r="G699" t="s">
        <v>650</v>
      </c>
      <c r="H699">
        <v>3915.82</v>
      </c>
      <c r="I699" t="s">
        <v>650</v>
      </c>
      <c r="K699" t="str">
        <f t="shared" si="13"/>
        <v>No</v>
      </c>
    </row>
    <row r="700" spans="3:11" x14ac:dyDescent="0.3">
      <c r="C700">
        <v>676</v>
      </c>
      <c r="D700">
        <v>2710.76</v>
      </c>
      <c r="E700" t="s">
        <v>650</v>
      </c>
      <c r="F700">
        <v>2641.7</v>
      </c>
      <c r="G700" t="s">
        <v>650</v>
      </c>
      <c r="H700">
        <v>3831.04</v>
      </c>
      <c r="I700" t="s">
        <v>650</v>
      </c>
      <c r="K700" t="str">
        <f t="shared" si="13"/>
        <v>No</v>
      </c>
    </row>
    <row r="701" spans="3:11" x14ac:dyDescent="0.3">
      <c r="C701">
        <v>677</v>
      </c>
      <c r="D701">
        <v>2408.73</v>
      </c>
      <c r="E701" t="s">
        <v>650</v>
      </c>
      <c r="F701">
        <v>5059.92</v>
      </c>
      <c r="G701" t="s">
        <v>650</v>
      </c>
      <c r="H701">
        <v>1649.4</v>
      </c>
      <c r="I701" t="s">
        <v>650</v>
      </c>
      <c r="K701" t="str">
        <f t="shared" si="13"/>
        <v>No</v>
      </c>
    </row>
    <row r="702" spans="3:11" x14ac:dyDescent="0.3">
      <c r="C702">
        <v>678</v>
      </c>
      <c r="D702">
        <v>2703.41</v>
      </c>
      <c r="E702" t="s">
        <v>650</v>
      </c>
      <c r="F702">
        <v>3737.86</v>
      </c>
      <c r="G702" t="s">
        <v>650</v>
      </c>
      <c r="H702">
        <v>3385.26</v>
      </c>
      <c r="I702" t="s">
        <v>650</v>
      </c>
      <c r="K702" t="str">
        <f t="shared" si="13"/>
        <v>No</v>
      </c>
    </row>
    <row r="703" spans="3:11" x14ac:dyDescent="0.3">
      <c r="C703">
        <v>679</v>
      </c>
      <c r="D703">
        <v>3561.98</v>
      </c>
      <c r="E703" t="s">
        <v>650</v>
      </c>
      <c r="F703">
        <v>2971.69</v>
      </c>
      <c r="G703" t="s">
        <v>650</v>
      </c>
      <c r="H703">
        <v>2567.7399999999998</v>
      </c>
      <c r="I703" t="s">
        <v>650</v>
      </c>
      <c r="K703" t="str">
        <f t="shared" si="13"/>
        <v>No</v>
      </c>
    </row>
    <row r="704" spans="3:11" x14ac:dyDescent="0.3">
      <c r="C704">
        <v>680</v>
      </c>
      <c r="D704">
        <v>3258.15</v>
      </c>
      <c r="E704" t="s">
        <v>650</v>
      </c>
      <c r="F704">
        <v>3679.86</v>
      </c>
      <c r="G704" t="s">
        <v>650</v>
      </c>
      <c r="H704">
        <v>3878.23</v>
      </c>
      <c r="I704" t="s">
        <v>650</v>
      </c>
      <c r="K704" t="str">
        <f t="shared" si="13"/>
        <v>No</v>
      </c>
    </row>
    <row r="705" spans="3:11" x14ac:dyDescent="0.3">
      <c r="C705">
        <v>681</v>
      </c>
      <c r="D705">
        <v>2138.91</v>
      </c>
      <c r="E705" t="s">
        <v>650</v>
      </c>
      <c r="F705">
        <v>2530.6</v>
      </c>
      <c r="G705" t="s">
        <v>650</v>
      </c>
      <c r="H705">
        <v>1831.44</v>
      </c>
      <c r="I705" t="s">
        <v>650</v>
      </c>
      <c r="K705" t="str">
        <f t="shared" si="13"/>
        <v>No</v>
      </c>
    </row>
    <row r="706" spans="3:11" x14ac:dyDescent="0.3">
      <c r="C706">
        <v>682</v>
      </c>
      <c r="D706">
        <v>3345.3</v>
      </c>
      <c r="E706" t="s">
        <v>650</v>
      </c>
      <c r="F706">
        <v>3556.94</v>
      </c>
      <c r="G706" t="s">
        <v>650</v>
      </c>
      <c r="H706">
        <v>3869.06</v>
      </c>
      <c r="I706" t="s">
        <v>650</v>
      </c>
      <c r="K706" t="str">
        <f t="shared" si="13"/>
        <v>No</v>
      </c>
    </row>
    <row r="707" spans="3:11" x14ac:dyDescent="0.3">
      <c r="C707">
        <v>683</v>
      </c>
      <c r="D707">
        <v>2607.5</v>
      </c>
      <c r="E707" t="s">
        <v>650</v>
      </c>
      <c r="F707">
        <v>4609.09</v>
      </c>
      <c r="G707" t="s">
        <v>650</v>
      </c>
      <c r="H707">
        <v>4735.7</v>
      </c>
      <c r="I707" t="s">
        <v>650</v>
      </c>
      <c r="K707" t="str">
        <f t="shared" si="13"/>
        <v>No</v>
      </c>
    </row>
    <row r="708" spans="3:11" x14ac:dyDescent="0.3">
      <c r="C708">
        <v>684</v>
      </c>
      <c r="D708">
        <v>3347.1</v>
      </c>
      <c r="E708" t="s">
        <v>650</v>
      </c>
      <c r="F708">
        <v>3588.14</v>
      </c>
      <c r="G708" t="s">
        <v>650</v>
      </c>
      <c r="H708">
        <v>3529.42</v>
      </c>
      <c r="I708" t="s">
        <v>650</v>
      </c>
      <c r="K708" t="str">
        <f t="shared" si="13"/>
        <v>No</v>
      </c>
    </row>
    <row r="709" spans="3:11" x14ac:dyDescent="0.3">
      <c r="C709">
        <v>685</v>
      </c>
      <c r="D709">
        <v>1380.15</v>
      </c>
      <c r="E709" t="s">
        <v>650</v>
      </c>
      <c r="F709">
        <v>3067.83</v>
      </c>
      <c r="G709" t="s">
        <v>650</v>
      </c>
      <c r="H709">
        <v>4061.62</v>
      </c>
      <c r="I709" t="s">
        <v>650</v>
      </c>
      <c r="K709" t="str">
        <f t="shared" si="13"/>
        <v>No</v>
      </c>
    </row>
    <row r="710" spans="3:11" x14ac:dyDescent="0.3">
      <c r="C710">
        <v>686</v>
      </c>
      <c r="D710">
        <v>2673.35</v>
      </c>
      <c r="E710" t="s">
        <v>650</v>
      </c>
      <c r="F710">
        <v>4227.1000000000004</v>
      </c>
      <c r="G710" t="s">
        <v>650</v>
      </c>
      <c r="H710">
        <v>4145.34</v>
      </c>
      <c r="I710" t="s">
        <v>650</v>
      </c>
      <c r="K710" t="str">
        <f t="shared" si="13"/>
        <v>No</v>
      </c>
    </row>
    <row r="711" spans="3:11" x14ac:dyDescent="0.3">
      <c r="C711">
        <v>687</v>
      </c>
      <c r="D711">
        <v>2962.93</v>
      </c>
      <c r="E711" t="s">
        <v>650</v>
      </c>
      <c r="F711">
        <v>2063.09</v>
      </c>
      <c r="G711" t="s">
        <v>650</v>
      </c>
      <c r="H711">
        <v>3542.48</v>
      </c>
      <c r="I711" t="s">
        <v>650</v>
      </c>
      <c r="K711" t="str">
        <f t="shared" si="13"/>
        <v>No</v>
      </c>
    </row>
    <row r="712" spans="3:11" x14ac:dyDescent="0.3">
      <c r="C712">
        <v>688</v>
      </c>
      <c r="D712">
        <v>2532.0500000000002</v>
      </c>
      <c r="E712" t="s">
        <v>650</v>
      </c>
      <c r="F712">
        <v>2392.54</v>
      </c>
      <c r="G712" t="s">
        <v>650</v>
      </c>
      <c r="H712">
        <v>1470.75</v>
      </c>
      <c r="I712" t="s">
        <v>650</v>
      </c>
      <c r="K712" t="str">
        <f t="shared" si="13"/>
        <v>No</v>
      </c>
    </row>
    <row r="713" spans="3:11" x14ac:dyDescent="0.3">
      <c r="C713">
        <v>689</v>
      </c>
      <c r="D713">
        <v>3565.2</v>
      </c>
      <c r="E713" t="s">
        <v>650</v>
      </c>
      <c r="F713">
        <v>2114.42</v>
      </c>
      <c r="G713" t="s">
        <v>650</v>
      </c>
      <c r="H713">
        <v>4354.46</v>
      </c>
      <c r="I713" t="s">
        <v>650</v>
      </c>
      <c r="K713" t="str">
        <f t="shared" si="13"/>
        <v>No</v>
      </c>
    </row>
    <row r="714" spans="3:11" x14ac:dyDescent="0.3">
      <c r="C714">
        <v>690</v>
      </c>
      <c r="D714">
        <v>2956.54</v>
      </c>
      <c r="E714" t="s">
        <v>650</v>
      </c>
      <c r="F714">
        <v>3325.18</v>
      </c>
      <c r="G714" t="s">
        <v>650</v>
      </c>
      <c r="H714">
        <v>4374.8</v>
      </c>
      <c r="I714" t="s">
        <v>650</v>
      </c>
      <c r="K714" t="str">
        <f t="shared" si="13"/>
        <v>No</v>
      </c>
    </row>
    <row r="715" spans="3:11" x14ac:dyDescent="0.3">
      <c r="C715">
        <v>691</v>
      </c>
      <c r="D715">
        <v>3222.95</v>
      </c>
      <c r="E715" t="s">
        <v>650</v>
      </c>
      <c r="F715">
        <v>2283.8000000000002</v>
      </c>
      <c r="G715" t="s">
        <v>650</v>
      </c>
      <c r="H715">
        <v>3883.42</v>
      </c>
      <c r="I715" t="s">
        <v>650</v>
      </c>
      <c r="K715" t="str">
        <f t="shared" si="13"/>
        <v>No</v>
      </c>
    </row>
    <row r="716" spans="3:11" x14ac:dyDescent="0.3">
      <c r="C716">
        <v>692</v>
      </c>
      <c r="D716">
        <v>2654.98</v>
      </c>
      <c r="E716" t="s">
        <v>650</v>
      </c>
      <c r="F716">
        <v>3750.69</v>
      </c>
      <c r="G716" t="s">
        <v>650</v>
      </c>
      <c r="H716">
        <v>2016.46</v>
      </c>
      <c r="I716" t="s">
        <v>650</v>
      </c>
      <c r="K716" t="str">
        <f t="shared" si="13"/>
        <v>No</v>
      </c>
    </row>
    <row r="717" spans="3:11" x14ac:dyDescent="0.3">
      <c r="C717">
        <v>693</v>
      </c>
      <c r="D717">
        <v>2723.96</v>
      </c>
      <c r="E717" t="s">
        <v>650</v>
      </c>
      <c r="F717">
        <v>3958.77</v>
      </c>
      <c r="G717" t="s">
        <v>650</v>
      </c>
      <c r="H717">
        <v>3939.22</v>
      </c>
      <c r="I717" t="s">
        <v>650</v>
      </c>
      <c r="K717" t="str">
        <f t="shared" si="13"/>
        <v>No</v>
      </c>
    </row>
    <row r="718" spans="3:11" x14ac:dyDescent="0.3">
      <c r="C718">
        <v>694</v>
      </c>
      <c r="D718">
        <v>4118.17</v>
      </c>
      <c r="E718" t="s">
        <v>650</v>
      </c>
      <c r="F718">
        <v>3997.81</v>
      </c>
      <c r="G718" t="s">
        <v>650</v>
      </c>
      <c r="H718">
        <v>3101.15</v>
      </c>
      <c r="I718" t="s">
        <v>650</v>
      </c>
      <c r="K718" t="str">
        <f t="shared" si="13"/>
        <v>No</v>
      </c>
    </row>
    <row r="719" spans="3:11" x14ac:dyDescent="0.3">
      <c r="C719">
        <v>695</v>
      </c>
      <c r="D719">
        <v>2228.39</v>
      </c>
      <c r="E719" t="s">
        <v>650</v>
      </c>
      <c r="F719">
        <v>3172.42</v>
      </c>
      <c r="G719" t="s">
        <v>650</v>
      </c>
      <c r="H719">
        <v>3348.19</v>
      </c>
      <c r="I719" t="s">
        <v>650</v>
      </c>
      <c r="K719" t="str">
        <f t="shared" si="13"/>
        <v>No</v>
      </c>
    </row>
    <row r="720" spans="3:11" x14ac:dyDescent="0.3">
      <c r="C720">
        <v>696</v>
      </c>
      <c r="D720">
        <v>3744.76</v>
      </c>
      <c r="E720" t="s">
        <v>650</v>
      </c>
      <c r="F720">
        <v>3445.82</v>
      </c>
      <c r="G720" t="s">
        <v>650</v>
      </c>
      <c r="H720">
        <v>3654.32</v>
      </c>
      <c r="I720" t="s">
        <v>650</v>
      </c>
      <c r="K720" t="str">
        <f t="shared" si="13"/>
        <v>No</v>
      </c>
    </row>
    <row r="721" spans="3:11" x14ac:dyDescent="0.3">
      <c r="C721">
        <v>697</v>
      </c>
      <c r="D721">
        <v>1820.98</v>
      </c>
      <c r="E721" t="s">
        <v>650</v>
      </c>
      <c r="F721">
        <v>4817.8599999999997</v>
      </c>
      <c r="G721" t="s">
        <v>650</v>
      </c>
      <c r="H721">
        <v>2012.09</v>
      </c>
      <c r="I721" t="s">
        <v>650</v>
      </c>
      <c r="K721" t="str">
        <f t="shared" si="13"/>
        <v>No</v>
      </c>
    </row>
    <row r="722" spans="3:11" x14ac:dyDescent="0.3">
      <c r="C722">
        <v>698</v>
      </c>
      <c r="D722">
        <v>3056.28</v>
      </c>
      <c r="E722" t="s">
        <v>650</v>
      </c>
      <c r="F722">
        <v>3663.42</v>
      </c>
      <c r="G722" t="s">
        <v>650</v>
      </c>
      <c r="H722">
        <v>2555.0700000000002</v>
      </c>
      <c r="I722" t="s">
        <v>650</v>
      </c>
      <c r="K722" t="str">
        <f t="shared" si="13"/>
        <v>No</v>
      </c>
    </row>
    <row r="723" spans="3:11" x14ac:dyDescent="0.3">
      <c r="C723">
        <v>699</v>
      </c>
      <c r="D723">
        <v>2788.69</v>
      </c>
      <c r="E723" t="s">
        <v>650</v>
      </c>
      <c r="F723">
        <v>2198.9499999999998</v>
      </c>
      <c r="G723" t="s">
        <v>650</v>
      </c>
      <c r="H723">
        <v>3063.26</v>
      </c>
      <c r="I723" t="s">
        <v>650</v>
      </c>
      <c r="K723" t="str">
        <f t="shared" si="13"/>
        <v>No</v>
      </c>
    </row>
    <row r="724" spans="3:11" x14ac:dyDescent="0.3">
      <c r="C724">
        <v>700</v>
      </c>
      <c r="D724">
        <v>2929.84</v>
      </c>
      <c r="E724" t="s">
        <v>650</v>
      </c>
      <c r="F724">
        <v>3679.53</v>
      </c>
      <c r="G724" t="s">
        <v>650</v>
      </c>
      <c r="H724">
        <v>2912.76</v>
      </c>
      <c r="I724" t="s">
        <v>650</v>
      </c>
      <c r="K724" t="str">
        <f t="shared" si="13"/>
        <v>No</v>
      </c>
    </row>
    <row r="725" spans="3:11" x14ac:dyDescent="0.3">
      <c r="C725">
        <v>701</v>
      </c>
      <c r="D725">
        <v>3151.33</v>
      </c>
      <c r="E725" t="s">
        <v>649</v>
      </c>
      <c r="F725">
        <v>3167.13</v>
      </c>
      <c r="G725" t="s">
        <v>649</v>
      </c>
      <c r="H725">
        <v>5075.46</v>
      </c>
      <c r="I725" t="s">
        <v>649</v>
      </c>
      <c r="K725" t="str">
        <f t="shared" si="13"/>
        <v>Yes</v>
      </c>
    </row>
    <row r="726" spans="3:11" x14ac:dyDescent="0.3">
      <c r="C726">
        <v>702</v>
      </c>
      <c r="D726">
        <v>4802.47</v>
      </c>
      <c r="E726" t="s">
        <v>649</v>
      </c>
      <c r="F726">
        <v>3436.51</v>
      </c>
      <c r="G726" t="s">
        <v>649</v>
      </c>
      <c r="H726">
        <v>4178.1000000000004</v>
      </c>
      <c r="I726" t="s">
        <v>649</v>
      </c>
      <c r="K726" t="str">
        <f t="shared" si="13"/>
        <v>Yes</v>
      </c>
    </row>
    <row r="727" spans="3:11" x14ac:dyDescent="0.3">
      <c r="C727">
        <v>703</v>
      </c>
      <c r="D727">
        <v>4223.62</v>
      </c>
      <c r="E727" t="s">
        <v>649</v>
      </c>
      <c r="F727">
        <v>3467.62</v>
      </c>
      <c r="G727" t="s">
        <v>649</v>
      </c>
      <c r="H727">
        <v>6526.29</v>
      </c>
      <c r="I727" t="s">
        <v>649</v>
      </c>
      <c r="K727" t="str">
        <f t="shared" si="13"/>
        <v>Yes</v>
      </c>
    </row>
    <row r="728" spans="3:11" x14ac:dyDescent="0.3">
      <c r="C728">
        <v>704</v>
      </c>
      <c r="D728">
        <v>4455.29</v>
      </c>
      <c r="E728" t="s">
        <v>649</v>
      </c>
      <c r="F728">
        <v>4095.16</v>
      </c>
      <c r="G728" t="s">
        <v>649</v>
      </c>
      <c r="H728">
        <v>4828.47</v>
      </c>
      <c r="I728" t="s">
        <v>649</v>
      </c>
      <c r="K728" t="str">
        <f t="shared" si="13"/>
        <v>Yes</v>
      </c>
    </row>
    <row r="729" spans="3:11" x14ac:dyDescent="0.3">
      <c r="C729">
        <v>705</v>
      </c>
      <c r="D729">
        <v>5756.48</v>
      </c>
      <c r="E729" t="s">
        <v>649</v>
      </c>
      <c r="F729">
        <v>4544.1899999999996</v>
      </c>
      <c r="G729" t="s">
        <v>649</v>
      </c>
      <c r="H729">
        <v>5123.2700000000004</v>
      </c>
      <c r="I729" t="s">
        <v>649</v>
      </c>
      <c r="K729" t="str">
        <f t="shared" ref="K729:K792" si="14">IF(AND(E729="No",G729="No",I729="No"),"No","Yes")</f>
        <v>Yes</v>
      </c>
    </row>
    <row r="730" spans="3:11" x14ac:dyDescent="0.3">
      <c r="C730">
        <v>706</v>
      </c>
      <c r="D730">
        <v>5535.84</v>
      </c>
      <c r="E730" t="s">
        <v>649</v>
      </c>
      <c r="F730">
        <v>4298.16</v>
      </c>
      <c r="G730" t="s">
        <v>649</v>
      </c>
      <c r="H730">
        <v>4968.3500000000004</v>
      </c>
      <c r="I730" t="s">
        <v>649</v>
      </c>
      <c r="K730" t="str">
        <f t="shared" si="14"/>
        <v>Yes</v>
      </c>
    </row>
    <row r="731" spans="3:11" x14ac:dyDescent="0.3">
      <c r="C731">
        <v>707</v>
      </c>
      <c r="D731">
        <v>3674.51</v>
      </c>
      <c r="E731" t="s">
        <v>649</v>
      </c>
      <c r="F731">
        <v>3426.54</v>
      </c>
      <c r="G731" t="s">
        <v>649</v>
      </c>
      <c r="H731">
        <v>3284.28</v>
      </c>
      <c r="I731" t="s">
        <v>649</v>
      </c>
      <c r="K731" t="str">
        <f t="shared" si="14"/>
        <v>Yes</v>
      </c>
    </row>
    <row r="732" spans="3:11" x14ac:dyDescent="0.3">
      <c r="C732">
        <v>708</v>
      </c>
      <c r="D732">
        <v>5155.6499999999996</v>
      </c>
      <c r="E732" t="s">
        <v>649</v>
      </c>
      <c r="F732">
        <v>5695.43</v>
      </c>
      <c r="G732" t="s">
        <v>649</v>
      </c>
      <c r="H732">
        <v>5179.08</v>
      </c>
      <c r="I732" t="s">
        <v>649</v>
      </c>
      <c r="K732" t="str">
        <f t="shared" si="14"/>
        <v>Yes</v>
      </c>
    </row>
    <row r="733" spans="3:11" x14ac:dyDescent="0.3">
      <c r="C733">
        <v>709</v>
      </c>
      <c r="D733">
        <v>7023.11</v>
      </c>
      <c r="E733" t="s">
        <v>649</v>
      </c>
      <c r="F733">
        <v>3976.39</v>
      </c>
      <c r="G733" t="s">
        <v>649</v>
      </c>
      <c r="H733">
        <v>2696.88</v>
      </c>
      <c r="I733" t="s">
        <v>649</v>
      </c>
      <c r="K733" t="str">
        <f t="shared" si="14"/>
        <v>Yes</v>
      </c>
    </row>
    <row r="734" spans="3:11" x14ac:dyDescent="0.3">
      <c r="C734">
        <v>710</v>
      </c>
      <c r="D734">
        <v>6992.88</v>
      </c>
      <c r="E734" t="s">
        <v>649</v>
      </c>
      <c r="F734">
        <v>6010.62</v>
      </c>
      <c r="G734" t="s">
        <v>649</v>
      </c>
      <c r="H734">
        <v>5159.57</v>
      </c>
      <c r="I734" t="s">
        <v>649</v>
      </c>
      <c r="K734" t="str">
        <f t="shared" si="14"/>
        <v>Yes</v>
      </c>
    </row>
    <row r="735" spans="3:11" x14ac:dyDescent="0.3">
      <c r="C735">
        <v>711</v>
      </c>
      <c r="D735">
        <v>4287.1499999999996</v>
      </c>
      <c r="E735" t="s">
        <v>649</v>
      </c>
      <c r="F735">
        <v>5365.32</v>
      </c>
      <c r="G735" t="s">
        <v>649</v>
      </c>
      <c r="H735">
        <v>4238.51</v>
      </c>
      <c r="I735" t="s">
        <v>649</v>
      </c>
      <c r="K735" t="str">
        <f t="shared" si="14"/>
        <v>Yes</v>
      </c>
    </row>
    <row r="736" spans="3:11" x14ac:dyDescent="0.3">
      <c r="C736">
        <v>712</v>
      </c>
      <c r="D736">
        <v>3755.66</v>
      </c>
      <c r="E736" t="s">
        <v>649</v>
      </c>
      <c r="F736">
        <v>5446.9</v>
      </c>
      <c r="G736" t="s">
        <v>649</v>
      </c>
      <c r="H736">
        <v>4120.5200000000004</v>
      </c>
      <c r="I736" t="s">
        <v>649</v>
      </c>
      <c r="K736" t="str">
        <f t="shared" si="14"/>
        <v>Yes</v>
      </c>
    </row>
    <row r="737" spans="3:11" x14ac:dyDescent="0.3">
      <c r="C737">
        <v>713</v>
      </c>
      <c r="D737">
        <v>5672.6</v>
      </c>
      <c r="E737" t="s">
        <v>649</v>
      </c>
      <c r="F737">
        <v>4873.51</v>
      </c>
      <c r="G737" t="s">
        <v>649</v>
      </c>
      <c r="H737">
        <v>4838.59</v>
      </c>
      <c r="I737" t="s">
        <v>649</v>
      </c>
      <c r="K737" t="str">
        <f t="shared" si="14"/>
        <v>Yes</v>
      </c>
    </row>
    <row r="738" spans="3:11" x14ac:dyDescent="0.3">
      <c r="C738">
        <v>714</v>
      </c>
      <c r="D738">
        <v>5755.78</v>
      </c>
      <c r="E738" t="s">
        <v>649</v>
      </c>
      <c r="F738">
        <v>3905.79</v>
      </c>
      <c r="G738" t="s">
        <v>649</v>
      </c>
      <c r="H738">
        <v>4767.1099999999997</v>
      </c>
      <c r="I738" t="s">
        <v>649</v>
      </c>
      <c r="K738" t="str">
        <f t="shared" si="14"/>
        <v>Yes</v>
      </c>
    </row>
    <row r="739" spans="3:11" x14ac:dyDescent="0.3">
      <c r="C739">
        <v>715</v>
      </c>
      <c r="D739">
        <v>4130.91</v>
      </c>
      <c r="E739" t="s">
        <v>649</v>
      </c>
      <c r="F739">
        <v>6246.72</v>
      </c>
      <c r="G739" t="s">
        <v>649</v>
      </c>
      <c r="H739">
        <v>5237.38</v>
      </c>
      <c r="I739" t="s">
        <v>649</v>
      </c>
      <c r="K739" t="str">
        <f t="shared" si="14"/>
        <v>Yes</v>
      </c>
    </row>
    <row r="740" spans="3:11" x14ac:dyDescent="0.3">
      <c r="C740">
        <v>716</v>
      </c>
      <c r="D740">
        <v>3357.91</v>
      </c>
      <c r="E740" t="s">
        <v>649</v>
      </c>
      <c r="F740">
        <v>4411.0200000000004</v>
      </c>
      <c r="G740" t="s">
        <v>649</v>
      </c>
      <c r="H740">
        <v>3549.38</v>
      </c>
      <c r="I740" t="s">
        <v>649</v>
      </c>
      <c r="K740" t="str">
        <f t="shared" si="14"/>
        <v>Yes</v>
      </c>
    </row>
    <row r="741" spans="3:11" x14ac:dyDescent="0.3">
      <c r="C741">
        <v>717</v>
      </c>
      <c r="D741">
        <v>7365.18</v>
      </c>
      <c r="E741" t="s">
        <v>649</v>
      </c>
      <c r="F741">
        <v>3971.86</v>
      </c>
      <c r="G741" t="s">
        <v>649</v>
      </c>
      <c r="H741">
        <v>4459.99</v>
      </c>
      <c r="I741" t="s">
        <v>649</v>
      </c>
      <c r="K741" t="str">
        <f t="shared" si="14"/>
        <v>Yes</v>
      </c>
    </row>
    <row r="742" spans="3:11" x14ac:dyDescent="0.3">
      <c r="C742">
        <v>718</v>
      </c>
      <c r="D742">
        <v>4690.5200000000004</v>
      </c>
      <c r="E742" t="s">
        <v>649</v>
      </c>
      <c r="F742">
        <v>4142.28</v>
      </c>
      <c r="G742" t="s">
        <v>649</v>
      </c>
      <c r="H742">
        <v>3567.48</v>
      </c>
      <c r="I742" t="s">
        <v>649</v>
      </c>
      <c r="K742" t="str">
        <f t="shared" si="14"/>
        <v>Yes</v>
      </c>
    </row>
    <row r="743" spans="3:11" x14ac:dyDescent="0.3">
      <c r="C743">
        <v>719</v>
      </c>
      <c r="D743">
        <v>4795.29</v>
      </c>
      <c r="E743" t="s">
        <v>649</v>
      </c>
      <c r="F743">
        <v>6441.75</v>
      </c>
      <c r="G743" t="s">
        <v>649</v>
      </c>
      <c r="H743">
        <v>4130.03</v>
      </c>
      <c r="I743" t="s">
        <v>649</v>
      </c>
      <c r="K743" t="str">
        <f t="shared" si="14"/>
        <v>Yes</v>
      </c>
    </row>
    <row r="744" spans="3:11" x14ac:dyDescent="0.3">
      <c r="C744">
        <v>720</v>
      </c>
      <c r="D744">
        <v>3767.72</v>
      </c>
      <c r="E744" t="s">
        <v>649</v>
      </c>
      <c r="F744">
        <v>4131.58</v>
      </c>
      <c r="G744" t="s">
        <v>649</v>
      </c>
      <c r="H744">
        <v>5102.0600000000004</v>
      </c>
      <c r="I744" t="s">
        <v>649</v>
      </c>
      <c r="K744" t="str">
        <f t="shared" si="14"/>
        <v>Yes</v>
      </c>
    </row>
    <row r="745" spans="3:11" x14ac:dyDescent="0.3">
      <c r="C745">
        <v>721</v>
      </c>
      <c r="D745">
        <v>5227.6400000000003</v>
      </c>
      <c r="E745" t="s">
        <v>649</v>
      </c>
      <c r="F745">
        <v>6155.35</v>
      </c>
      <c r="G745" t="s">
        <v>649</v>
      </c>
      <c r="H745">
        <v>3681.12</v>
      </c>
      <c r="I745" t="s">
        <v>649</v>
      </c>
      <c r="K745" t="str">
        <f t="shared" si="14"/>
        <v>Yes</v>
      </c>
    </row>
    <row r="746" spans="3:11" x14ac:dyDescent="0.3">
      <c r="C746">
        <v>722</v>
      </c>
      <c r="D746">
        <v>2617.8000000000002</v>
      </c>
      <c r="E746" t="s">
        <v>649</v>
      </c>
      <c r="F746">
        <v>4888.3500000000004</v>
      </c>
      <c r="G746" t="s">
        <v>649</v>
      </c>
      <c r="H746">
        <v>2565.1</v>
      </c>
      <c r="I746" t="s">
        <v>649</v>
      </c>
      <c r="K746" t="str">
        <f t="shared" si="14"/>
        <v>Yes</v>
      </c>
    </row>
    <row r="747" spans="3:11" x14ac:dyDescent="0.3">
      <c r="C747">
        <v>723</v>
      </c>
      <c r="D747">
        <v>4463.32</v>
      </c>
      <c r="E747" t="s">
        <v>649</v>
      </c>
      <c r="F747">
        <v>5035.8999999999996</v>
      </c>
      <c r="G747" t="s">
        <v>649</v>
      </c>
      <c r="H747">
        <v>6361.31</v>
      </c>
      <c r="I747" t="s">
        <v>649</v>
      </c>
      <c r="K747" t="str">
        <f t="shared" si="14"/>
        <v>Yes</v>
      </c>
    </row>
    <row r="748" spans="3:11" x14ac:dyDescent="0.3">
      <c r="C748">
        <v>724</v>
      </c>
      <c r="D748">
        <v>4285.43</v>
      </c>
      <c r="E748" t="s">
        <v>649</v>
      </c>
      <c r="F748">
        <v>4387.7</v>
      </c>
      <c r="G748" t="s">
        <v>649</v>
      </c>
      <c r="H748">
        <v>5136.78</v>
      </c>
      <c r="I748" t="s">
        <v>649</v>
      </c>
      <c r="K748" t="str">
        <f t="shared" si="14"/>
        <v>Yes</v>
      </c>
    </row>
    <row r="749" spans="3:11" x14ac:dyDescent="0.3">
      <c r="C749">
        <v>725</v>
      </c>
      <c r="D749">
        <v>5425.1</v>
      </c>
      <c r="E749" t="s">
        <v>649</v>
      </c>
      <c r="F749">
        <v>2881.98</v>
      </c>
      <c r="G749" t="s">
        <v>649</v>
      </c>
      <c r="H749">
        <v>3205.64</v>
      </c>
      <c r="I749" t="s">
        <v>649</v>
      </c>
      <c r="K749" t="str">
        <f t="shared" si="14"/>
        <v>Yes</v>
      </c>
    </row>
    <row r="750" spans="3:11" x14ac:dyDescent="0.3">
      <c r="C750">
        <v>726</v>
      </c>
      <c r="D750">
        <v>5555.12</v>
      </c>
      <c r="E750" t="s">
        <v>649</v>
      </c>
      <c r="F750">
        <v>5420.06</v>
      </c>
      <c r="G750" t="s">
        <v>649</v>
      </c>
      <c r="H750">
        <v>4849.88</v>
      </c>
      <c r="I750" t="s">
        <v>649</v>
      </c>
      <c r="K750" t="str">
        <f t="shared" si="14"/>
        <v>Yes</v>
      </c>
    </row>
    <row r="751" spans="3:11" x14ac:dyDescent="0.3">
      <c r="C751">
        <v>727</v>
      </c>
      <c r="D751">
        <v>5252.91</v>
      </c>
      <c r="E751" t="s">
        <v>649</v>
      </c>
      <c r="F751">
        <v>3883.03</v>
      </c>
      <c r="G751" t="s">
        <v>649</v>
      </c>
      <c r="H751">
        <v>3952.87</v>
      </c>
      <c r="I751" t="s">
        <v>649</v>
      </c>
      <c r="K751" t="str">
        <f t="shared" si="14"/>
        <v>Yes</v>
      </c>
    </row>
    <row r="752" spans="3:11" x14ac:dyDescent="0.3">
      <c r="C752">
        <v>728</v>
      </c>
      <c r="D752">
        <v>5179.17</v>
      </c>
      <c r="E752" t="s">
        <v>649</v>
      </c>
      <c r="F752">
        <v>5118.26</v>
      </c>
      <c r="G752" t="s">
        <v>649</v>
      </c>
      <c r="H752">
        <v>4164.3100000000004</v>
      </c>
      <c r="I752" t="s">
        <v>649</v>
      </c>
      <c r="K752" t="str">
        <f t="shared" si="14"/>
        <v>Yes</v>
      </c>
    </row>
    <row r="753" spans="3:11" x14ac:dyDescent="0.3">
      <c r="C753">
        <v>729</v>
      </c>
      <c r="D753">
        <v>5959.32</v>
      </c>
      <c r="E753" t="s">
        <v>649</v>
      </c>
      <c r="F753">
        <v>4550.1499999999996</v>
      </c>
      <c r="G753" t="s">
        <v>649</v>
      </c>
      <c r="H753">
        <v>4944.8999999999996</v>
      </c>
      <c r="I753" t="s">
        <v>649</v>
      </c>
      <c r="K753" t="str">
        <f t="shared" si="14"/>
        <v>Yes</v>
      </c>
    </row>
    <row r="754" spans="3:11" x14ac:dyDescent="0.3">
      <c r="C754">
        <v>730</v>
      </c>
      <c r="D754">
        <v>5930.27</v>
      </c>
      <c r="E754" t="s">
        <v>649</v>
      </c>
      <c r="F754">
        <v>6058.8</v>
      </c>
      <c r="G754" t="s">
        <v>649</v>
      </c>
      <c r="H754">
        <v>5182.84</v>
      </c>
      <c r="I754" t="s">
        <v>649</v>
      </c>
      <c r="K754" t="str">
        <f t="shared" si="14"/>
        <v>Yes</v>
      </c>
    </row>
    <row r="755" spans="3:11" x14ac:dyDescent="0.3">
      <c r="C755">
        <v>731</v>
      </c>
      <c r="D755">
        <v>1683.46</v>
      </c>
      <c r="E755" t="s">
        <v>649</v>
      </c>
      <c r="F755">
        <v>2799.24</v>
      </c>
      <c r="G755" t="s">
        <v>649</v>
      </c>
      <c r="H755">
        <v>4607.71</v>
      </c>
      <c r="I755" t="s">
        <v>649</v>
      </c>
      <c r="K755" t="str">
        <f t="shared" si="14"/>
        <v>Yes</v>
      </c>
    </row>
    <row r="756" spans="3:11" x14ac:dyDescent="0.3">
      <c r="C756">
        <v>732</v>
      </c>
      <c r="D756">
        <v>3059.78</v>
      </c>
      <c r="E756" t="s">
        <v>649</v>
      </c>
      <c r="F756">
        <v>4208.68</v>
      </c>
      <c r="G756" t="s">
        <v>649</v>
      </c>
      <c r="H756">
        <v>4826.51</v>
      </c>
      <c r="I756" t="s">
        <v>649</v>
      </c>
      <c r="K756" t="str">
        <f t="shared" si="14"/>
        <v>Yes</v>
      </c>
    </row>
    <row r="757" spans="3:11" x14ac:dyDescent="0.3">
      <c r="C757">
        <v>733</v>
      </c>
      <c r="D757">
        <v>4950.6400000000003</v>
      </c>
      <c r="E757" t="s">
        <v>649</v>
      </c>
      <c r="F757">
        <v>5770.17</v>
      </c>
      <c r="G757" t="s">
        <v>649</v>
      </c>
      <c r="H757">
        <v>4297.09</v>
      </c>
      <c r="I757" t="s">
        <v>649</v>
      </c>
      <c r="K757" t="str">
        <f t="shared" si="14"/>
        <v>Yes</v>
      </c>
    </row>
    <row r="758" spans="3:11" x14ac:dyDescent="0.3">
      <c r="C758">
        <v>734</v>
      </c>
      <c r="D758">
        <v>3603.97</v>
      </c>
      <c r="E758" t="s">
        <v>649</v>
      </c>
      <c r="F758">
        <v>4558.92</v>
      </c>
      <c r="G758" t="s">
        <v>649</v>
      </c>
      <c r="H758">
        <v>3760.15</v>
      </c>
      <c r="I758" t="s">
        <v>649</v>
      </c>
      <c r="K758" t="str">
        <f t="shared" si="14"/>
        <v>Yes</v>
      </c>
    </row>
    <row r="759" spans="3:11" x14ac:dyDescent="0.3">
      <c r="C759">
        <v>735</v>
      </c>
      <c r="D759">
        <v>5789.97</v>
      </c>
      <c r="E759" t="s">
        <v>649</v>
      </c>
      <c r="F759">
        <v>3997.93</v>
      </c>
      <c r="G759" t="s">
        <v>649</v>
      </c>
      <c r="H759">
        <v>4210.3100000000004</v>
      </c>
      <c r="I759" t="s">
        <v>649</v>
      </c>
      <c r="K759" t="str">
        <f t="shared" si="14"/>
        <v>Yes</v>
      </c>
    </row>
    <row r="760" spans="3:11" x14ac:dyDescent="0.3">
      <c r="C760">
        <v>736</v>
      </c>
      <c r="D760">
        <v>3491.48</v>
      </c>
      <c r="E760" t="s">
        <v>649</v>
      </c>
      <c r="F760">
        <v>2925.85</v>
      </c>
      <c r="G760" t="s">
        <v>649</v>
      </c>
      <c r="H760">
        <v>4655.32</v>
      </c>
      <c r="I760" t="s">
        <v>649</v>
      </c>
      <c r="K760" t="str">
        <f t="shared" si="14"/>
        <v>Yes</v>
      </c>
    </row>
    <row r="761" spans="3:11" x14ac:dyDescent="0.3">
      <c r="C761">
        <v>737</v>
      </c>
      <c r="D761">
        <v>5622.13</v>
      </c>
      <c r="E761" t="s">
        <v>649</v>
      </c>
      <c r="F761">
        <v>4659.1400000000003</v>
      </c>
      <c r="G761" t="s">
        <v>649</v>
      </c>
      <c r="H761">
        <v>4612.49</v>
      </c>
      <c r="I761" t="s">
        <v>649</v>
      </c>
      <c r="K761" t="str">
        <f t="shared" si="14"/>
        <v>Yes</v>
      </c>
    </row>
    <row r="762" spans="3:11" x14ac:dyDescent="0.3">
      <c r="C762">
        <v>738</v>
      </c>
      <c r="D762">
        <v>3941.01</v>
      </c>
      <c r="E762" t="s">
        <v>649</v>
      </c>
      <c r="F762">
        <v>2719.85</v>
      </c>
      <c r="G762" t="s">
        <v>649</v>
      </c>
      <c r="H762">
        <v>4100.71</v>
      </c>
      <c r="I762" t="s">
        <v>649</v>
      </c>
      <c r="K762" t="str">
        <f t="shared" si="14"/>
        <v>Yes</v>
      </c>
    </row>
    <row r="763" spans="3:11" x14ac:dyDescent="0.3">
      <c r="C763">
        <v>739</v>
      </c>
      <c r="D763">
        <v>3769.34</v>
      </c>
      <c r="E763" t="s">
        <v>649</v>
      </c>
      <c r="F763">
        <v>5777.37</v>
      </c>
      <c r="G763" t="s">
        <v>649</v>
      </c>
      <c r="H763">
        <v>3982.99</v>
      </c>
      <c r="I763" t="s">
        <v>649</v>
      </c>
      <c r="K763" t="str">
        <f t="shared" si="14"/>
        <v>Yes</v>
      </c>
    </row>
    <row r="764" spans="3:11" x14ac:dyDescent="0.3">
      <c r="C764">
        <v>740</v>
      </c>
      <c r="D764">
        <v>5617.82</v>
      </c>
      <c r="E764" t="s">
        <v>649</v>
      </c>
      <c r="F764">
        <v>4360.3100000000004</v>
      </c>
      <c r="G764" t="s">
        <v>649</v>
      </c>
      <c r="H764">
        <v>3949.46</v>
      </c>
      <c r="I764" t="s">
        <v>649</v>
      </c>
      <c r="K764" t="str">
        <f t="shared" si="14"/>
        <v>Yes</v>
      </c>
    </row>
    <row r="765" spans="3:11" x14ac:dyDescent="0.3">
      <c r="C765">
        <v>741</v>
      </c>
      <c r="D765">
        <v>3024.56</v>
      </c>
      <c r="E765" t="s">
        <v>649</v>
      </c>
      <c r="F765">
        <v>3673.92</v>
      </c>
      <c r="G765" t="s">
        <v>649</v>
      </c>
      <c r="H765">
        <v>4569.17</v>
      </c>
      <c r="I765" t="s">
        <v>649</v>
      </c>
      <c r="K765" t="str">
        <f t="shared" si="14"/>
        <v>Yes</v>
      </c>
    </row>
    <row r="766" spans="3:11" x14ac:dyDescent="0.3">
      <c r="C766">
        <v>742</v>
      </c>
      <c r="D766">
        <v>5519.76</v>
      </c>
      <c r="E766" t="s">
        <v>649</v>
      </c>
      <c r="F766">
        <v>4081.1</v>
      </c>
      <c r="G766" t="s">
        <v>649</v>
      </c>
      <c r="H766">
        <v>5373.26</v>
      </c>
      <c r="I766" t="s">
        <v>649</v>
      </c>
      <c r="K766" t="str">
        <f t="shared" si="14"/>
        <v>Yes</v>
      </c>
    </row>
    <row r="767" spans="3:11" x14ac:dyDescent="0.3">
      <c r="C767">
        <v>743</v>
      </c>
      <c r="D767">
        <v>3867.35</v>
      </c>
      <c r="E767" t="s">
        <v>649</v>
      </c>
      <c r="F767">
        <v>4595.16</v>
      </c>
      <c r="G767" t="s">
        <v>649</v>
      </c>
      <c r="H767">
        <v>4597.8100000000004</v>
      </c>
      <c r="I767" t="s">
        <v>649</v>
      </c>
      <c r="K767" t="str">
        <f t="shared" si="14"/>
        <v>Yes</v>
      </c>
    </row>
    <row r="768" spans="3:11" x14ac:dyDescent="0.3">
      <c r="C768">
        <v>744</v>
      </c>
      <c r="D768">
        <v>3213.5</v>
      </c>
      <c r="E768" t="s">
        <v>649</v>
      </c>
      <c r="F768">
        <v>3149.15</v>
      </c>
      <c r="G768" t="s">
        <v>649</v>
      </c>
      <c r="H768">
        <v>3505.79</v>
      </c>
      <c r="I768" t="s">
        <v>649</v>
      </c>
      <c r="K768" t="str">
        <f t="shared" si="14"/>
        <v>Yes</v>
      </c>
    </row>
    <row r="769" spans="3:11" x14ac:dyDescent="0.3">
      <c r="C769">
        <v>745</v>
      </c>
      <c r="D769">
        <v>2546.8200000000002</v>
      </c>
      <c r="E769" t="s">
        <v>649</v>
      </c>
      <c r="F769">
        <v>3610.42</v>
      </c>
      <c r="G769" t="s">
        <v>649</v>
      </c>
      <c r="H769">
        <v>4437.6899999999996</v>
      </c>
      <c r="I769" t="s">
        <v>649</v>
      </c>
      <c r="K769" t="str">
        <f t="shared" si="14"/>
        <v>Yes</v>
      </c>
    </row>
    <row r="770" spans="3:11" x14ac:dyDescent="0.3">
      <c r="C770">
        <v>746</v>
      </c>
      <c r="D770">
        <v>4412.3</v>
      </c>
      <c r="E770" t="s">
        <v>649</v>
      </c>
      <c r="F770">
        <v>3619.59</v>
      </c>
      <c r="G770" t="s">
        <v>649</v>
      </c>
      <c r="H770">
        <v>5414.72</v>
      </c>
      <c r="I770" t="s">
        <v>649</v>
      </c>
      <c r="K770" t="str">
        <f t="shared" si="14"/>
        <v>Yes</v>
      </c>
    </row>
    <row r="771" spans="3:11" x14ac:dyDescent="0.3">
      <c r="C771">
        <v>747</v>
      </c>
      <c r="D771">
        <v>4127.17</v>
      </c>
      <c r="E771" t="s">
        <v>649</v>
      </c>
      <c r="F771">
        <v>4206.01</v>
      </c>
      <c r="G771" t="s">
        <v>649</v>
      </c>
      <c r="H771">
        <v>4328.4799999999996</v>
      </c>
      <c r="I771" t="s">
        <v>649</v>
      </c>
      <c r="K771" t="str">
        <f t="shared" si="14"/>
        <v>Yes</v>
      </c>
    </row>
    <row r="772" spans="3:11" x14ac:dyDescent="0.3">
      <c r="C772">
        <v>748</v>
      </c>
      <c r="D772">
        <v>4639.22</v>
      </c>
      <c r="E772" t="s">
        <v>649</v>
      </c>
      <c r="F772">
        <v>6228.89</v>
      </c>
      <c r="G772" t="s">
        <v>649</v>
      </c>
      <c r="H772">
        <v>4385.4799999999996</v>
      </c>
      <c r="I772" t="s">
        <v>649</v>
      </c>
      <c r="K772" t="str">
        <f t="shared" si="14"/>
        <v>Yes</v>
      </c>
    </row>
    <row r="773" spans="3:11" x14ac:dyDescent="0.3">
      <c r="C773">
        <v>749</v>
      </c>
      <c r="D773">
        <v>5141.8500000000004</v>
      </c>
      <c r="E773" t="s">
        <v>649</v>
      </c>
      <c r="F773">
        <v>4516.8900000000003</v>
      </c>
      <c r="G773" t="s">
        <v>649</v>
      </c>
      <c r="H773">
        <v>4514.6400000000003</v>
      </c>
      <c r="I773" t="s">
        <v>649</v>
      </c>
      <c r="K773" t="str">
        <f t="shared" si="14"/>
        <v>Yes</v>
      </c>
    </row>
    <row r="774" spans="3:11" x14ac:dyDescent="0.3">
      <c r="C774">
        <v>750</v>
      </c>
      <c r="D774">
        <v>4309.6499999999996</v>
      </c>
      <c r="E774" t="s">
        <v>649</v>
      </c>
      <c r="F774">
        <v>5670.29</v>
      </c>
      <c r="G774" t="s">
        <v>649</v>
      </c>
      <c r="H774">
        <v>5084.29</v>
      </c>
      <c r="I774" t="s">
        <v>649</v>
      </c>
      <c r="K774" t="str">
        <f t="shared" si="14"/>
        <v>Yes</v>
      </c>
    </row>
    <row r="775" spans="3:11" x14ac:dyDescent="0.3">
      <c r="C775">
        <v>751</v>
      </c>
      <c r="D775">
        <v>3641.21</v>
      </c>
      <c r="E775" t="s">
        <v>649</v>
      </c>
      <c r="F775">
        <v>4794.88</v>
      </c>
      <c r="G775" t="s">
        <v>649</v>
      </c>
      <c r="H775">
        <v>6683.44</v>
      </c>
      <c r="I775" t="s">
        <v>649</v>
      </c>
      <c r="K775" t="str">
        <f t="shared" si="14"/>
        <v>Yes</v>
      </c>
    </row>
    <row r="776" spans="3:11" x14ac:dyDescent="0.3">
      <c r="C776">
        <v>752</v>
      </c>
      <c r="D776">
        <v>3690.42</v>
      </c>
      <c r="E776" t="s">
        <v>649</v>
      </c>
      <c r="F776">
        <v>4353.9799999999996</v>
      </c>
      <c r="G776" t="s">
        <v>649</v>
      </c>
      <c r="H776">
        <v>6234.86</v>
      </c>
      <c r="I776" t="s">
        <v>649</v>
      </c>
      <c r="K776" t="str">
        <f t="shared" si="14"/>
        <v>Yes</v>
      </c>
    </row>
    <row r="777" spans="3:11" x14ac:dyDescent="0.3">
      <c r="C777">
        <v>753</v>
      </c>
      <c r="D777">
        <v>3968.58</v>
      </c>
      <c r="E777" t="s">
        <v>649</v>
      </c>
      <c r="F777">
        <v>4513.6000000000004</v>
      </c>
      <c r="G777" t="s">
        <v>649</v>
      </c>
      <c r="H777">
        <v>6001.9</v>
      </c>
      <c r="I777" t="s">
        <v>649</v>
      </c>
      <c r="K777" t="str">
        <f t="shared" si="14"/>
        <v>Yes</v>
      </c>
    </row>
    <row r="778" spans="3:11" x14ac:dyDescent="0.3">
      <c r="C778">
        <v>754</v>
      </c>
      <c r="D778">
        <v>6750.69</v>
      </c>
      <c r="E778" t="s">
        <v>649</v>
      </c>
      <c r="F778">
        <v>3229.3</v>
      </c>
      <c r="G778" t="s">
        <v>649</v>
      </c>
      <c r="H778">
        <v>5236.03</v>
      </c>
      <c r="I778" t="s">
        <v>649</v>
      </c>
      <c r="K778" t="str">
        <f t="shared" si="14"/>
        <v>Yes</v>
      </c>
    </row>
    <row r="779" spans="3:11" x14ac:dyDescent="0.3">
      <c r="C779">
        <v>755</v>
      </c>
      <c r="D779">
        <v>6753.69</v>
      </c>
      <c r="E779" t="s">
        <v>649</v>
      </c>
      <c r="F779">
        <v>3820.33</v>
      </c>
      <c r="G779" t="s">
        <v>649</v>
      </c>
      <c r="H779">
        <v>6800.17</v>
      </c>
      <c r="I779" t="s">
        <v>649</v>
      </c>
      <c r="K779" t="str">
        <f t="shared" si="14"/>
        <v>Yes</v>
      </c>
    </row>
    <row r="780" spans="3:11" x14ac:dyDescent="0.3">
      <c r="C780">
        <v>756</v>
      </c>
      <c r="D780">
        <v>5113.04</v>
      </c>
      <c r="E780" t="s">
        <v>649</v>
      </c>
      <c r="F780">
        <v>5416.79</v>
      </c>
      <c r="G780" t="s">
        <v>649</v>
      </c>
      <c r="H780">
        <v>6012.79</v>
      </c>
      <c r="I780" t="s">
        <v>649</v>
      </c>
      <c r="K780" t="str">
        <f t="shared" si="14"/>
        <v>Yes</v>
      </c>
    </row>
    <row r="781" spans="3:11" x14ac:dyDescent="0.3">
      <c r="C781">
        <v>757</v>
      </c>
      <c r="D781">
        <v>4777.75</v>
      </c>
      <c r="E781" t="s">
        <v>649</v>
      </c>
      <c r="F781">
        <v>3463.74</v>
      </c>
      <c r="G781" t="s">
        <v>649</v>
      </c>
      <c r="H781">
        <v>4950.41</v>
      </c>
      <c r="I781" t="s">
        <v>649</v>
      </c>
      <c r="K781" t="str">
        <f t="shared" si="14"/>
        <v>Yes</v>
      </c>
    </row>
    <row r="782" spans="3:11" x14ac:dyDescent="0.3">
      <c r="C782">
        <v>758</v>
      </c>
      <c r="D782">
        <v>2000.04</v>
      </c>
      <c r="E782" t="s">
        <v>649</v>
      </c>
      <c r="F782">
        <v>4167.2</v>
      </c>
      <c r="G782" t="s">
        <v>649</v>
      </c>
      <c r="H782">
        <v>4442.21</v>
      </c>
      <c r="I782" t="s">
        <v>649</v>
      </c>
      <c r="K782" t="str">
        <f t="shared" si="14"/>
        <v>Yes</v>
      </c>
    </row>
    <row r="783" spans="3:11" x14ac:dyDescent="0.3">
      <c r="C783">
        <v>759</v>
      </c>
      <c r="D783">
        <v>5338.89</v>
      </c>
      <c r="E783" t="s">
        <v>649</v>
      </c>
      <c r="F783">
        <v>3979.75</v>
      </c>
      <c r="G783" t="s">
        <v>649</v>
      </c>
      <c r="H783">
        <v>4899.9799999999996</v>
      </c>
      <c r="I783" t="s">
        <v>649</v>
      </c>
      <c r="K783" t="str">
        <f t="shared" si="14"/>
        <v>Yes</v>
      </c>
    </row>
    <row r="784" spans="3:11" x14ac:dyDescent="0.3">
      <c r="C784">
        <v>760</v>
      </c>
      <c r="D784">
        <v>3855.66</v>
      </c>
      <c r="E784" t="s">
        <v>649</v>
      </c>
      <c r="F784">
        <v>3892.05</v>
      </c>
      <c r="G784" t="s">
        <v>649</v>
      </c>
      <c r="H784">
        <v>3746.31</v>
      </c>
      <c r="I784" t="s">
        <v>649</v>
      </c>
      <c r="K784" t="str">
        <f t="shared" si="14"/>
        <v>Yes</v>
      </c>
    </row>
    <row r="785" spans="3:11" x14ac:dyDescent="0.3">
      <c r="C785">
        <v>761</v>
      </c>
      <c r="D785">
        <v>4810.62</v>
      </c>
      <c r="E785" t="s">
        <v>649</v>
      </c>
      <c r="F785">
        <v>3980.52</v>
      </c>
      <c r="G785" t="s">
        <v>649</v>
      </c>
      <c r="H785">
        <v>5209.76</v>
      </c>
      <c r="I785" t="s">
        <v>649</v>
      </c>
      <c r="K785" t="str">
        <f t="shared" si="14"/>
        <v>Yes</v>
      </c>
    </row>
    <row r="786" spans="3:11" x14ac:dyDescent="0.3">
      <c r="C786">
        <v>762</v>
      </c>
      <c r="D786">
        <v>5522.41</v>
      </c>
      <c r="E786" t="s">
        <v>649</v>
      </c>
      <c r="F786">
        <v>7656.81</v>
      </c>
      <c r="G786" t="s">
        <v>649</v>
      </c>
      <c r="H786">
        <v>4800.8500000000004</v>
      </c>
      <c r="I786" t="s">
        <v>649</v>
      </c>
      <c r="K786" t="str">
        <f t="shared" si="14"/>
        <v>Yes</v>
      </c>
    </row>
    <row r="787" spans="3:11" x14ac:dyDescent="0.3">
      <c r="C787">
        <v>763</v>
      </c>
      <c r="D787">
        <v>5977.1</v>
      </c>
      <c r="E787" t="s">
        <v>649</v>
      </c>
      <c r="F787">
        <v>3931.97</v>
      </c>
      <c r="G787" t="s">
        <v>649</v>
      </c>
      <c r="H787">
        <v>5622.38</v>
      </c>
      <c r="I787" t="s">
        <v>649</v>
      </c>
      <c r="K787" t="str">
        <f t="shared" si="14"/>
        <v>Yes</v>
      </c>
    </row>
    <row r="788" spans="3:11" x14ac:dyDescent="0.3">
      <c r="C788">
        <v>764</v>
      </c>
      <c r="D788">
        <v>7096.57</v>
      </c>
      <c r="E788" t="s">
        <v>649</v>
      </c>
      <c r="F788">
        <v>3736.8</v>
      </c>
      <c r="G788" t="s">
        <v>649</v>
      </c>
      <c r="H788">
        <v>6367.02</v>
      </c>
      <c r="I788" t="s">
        <v>649</v>
      </c>
      <c r="K788" t="str">
        <f t="shared" si="14"/>
        <v>Yes</v>
      </c>
    </row>
    <row r="789" spans="3:11" x14ac:dyDescent="0.3">
      <c r="C789">
        <v>765</v>
      </c>
      <c r="D789">
        <v>4215.88</v>
      </c>
      <c r="E789" t="s">
        <v>649</v>
      </c>
      <c r="F789">
        <v>3291.17</v>
      </c>
      <c r="G789" t="s">
        <v>649</v>
      </c>
      <c r="H789">
        <v>5402.22</v>
      </c>
      <c r="I789" t="s">
        <v>649</v>
      </c>
      <c r="K789" t="str">
        <f t="shared" si="14"/>
        <v>Yes</v>
      </c>
    </row>
    <row r="790" spans="3:11" x14ac:dyDescent="0.3">
      <c r="C790">
        <v>766</v>
      </c>
      <c r="D790">
        <v>4366.84</v>
      </c>
      <c r="E790" t="s">
        <v>649</v>
      </c>
      <c r="F790">
        <v>3631.17</v>
      </c>
      <c r="G790" t="s">
        <v>649</v>
      </c>
      <c r="H790">
        <v>5681.67</v>
      </c>
      <c r="I790" t="s">
        <v>649</v>
      </c>
      <c r="K790" t="str">
        <f t="shared" si="14"/>
        <v>Yes</v>
      </c>
    </row>
    <row r="791" spans="3:11" x14ac:dyDescent="0.3">
      <c r="C791">
        <v>767</v>
      </c>
      <c r="D791">
        <v>4033.97</v>
      </c>
      <c r="E791" t="s">
        <v>649</v>
      </c>
      <c r="F791">
        <v>5173.8100000000004</v>
      </c>
      <c r="G791" t="s">
        <v>649</v>
      </c>
      <c r="H791">
        <v>5661.69</v>
      </c>
      <c r="I791" t="s">
        <v>649</v>
      </c>
      <c r="K791" t="str">
        <f t="shared" si="14"/>
        <v>Yes</v>
      </c>
    </row>
    <row r="792" spans="3:11" x14ac:dyDescent="0.3">
      <c r="C792">
        <v>768</v>
      </c>
      <c r="D792">
        <v>5462.25</v>
      </c>
      <c r="E792" t="s">
        <v>649</v>
      </c>
      <c r="F792">
        <v>5992.67</v>
      </c>
      <c r="G792" t="s">
        <v>649</v>
      </c>
      <c r="H792">
        <v>4848.84</v>
      </c>
      <c r="I792" t="s">
        <v>649</v>
      </c>
      <c r="K792" t="str">
        <f t="shared" si="14"/>
        <v>Yes</v>
      </c>
    </row>
    <row r="793" spans="3:11" x14ac:dyDescent="0.3">
      <c r="C793">
        <v>769</v>
      </c>
      <c r="D793">
        <v>6358.25</v>
      </c>
      <c r="E793" t="s">
        <v>649</v>
      </c>
      <c r="F793">
        <v>3529.34</v>
      </c>
      <c r="G793" t="s">
        <v>649</v>
      </c>
      <c r="H793">
        <v>5118.9799999999996</v>
      </c>
      <c r="I793" t="s">
        <v>649</v>
      </c>
      <c r="K793" t="str">
        <f t="shared" ref="K793:K856" si="15">IF(AND(E793="No",G793="No",I793="No"),"No","Yes")</f>
        <v>Yes</v>
      </c>
    </row>
    <row r="794" spans="3:11" x14ac:dyDescent="0.3">
      <c r="C794">
        <v>770</v>
      </c>
      <c r="D794">
        <v>3657.86</v>
      </c>
      <c r="E794" t="s">
        <v>649</v>
      </c>
      <c r="F794">
        <v>5185.76</v>
      </c>
      <c r="G794" t="s">
        <v>649</v>
      </c>
      <c r="H794">
        <v>3904.16</v>
      </c>
      <c r="I794" t="s">
        <v>649</v>
      </c>
      <c r="K794" t="str">
        <f t="shared" si="15"/>
        <v>Yes</v>
      </c>
    </row>
    <row r="795" spans="3:11" x14ac:dyDescent="0.3">
      <c r="C795">
        <v>771</v>
      </c>
      <c r="D795">
        <v>4407.2700000000004</v>
      </c>
      <c r="E795" t="s">
        <v>649</v>
      </c>
      <c r="F795">
        <v>4970.1899999999996</v>
      </c>
      <c r="G795" t="s">
        <v>649</v>
      </c>
      <c r="H795">
        <v>3845.14</v>
      </c>
      <c r="I795" t="s">
        <v>649</v>
      </c>
      <c r="K795" t="str">
        <f t="shared" si="15"/>
        <v>Yes</v>
      </c>
    </row>
    <row r="796" spans="3:11" x14ac:dyDescent="0.3">
      <c r="C796">
        <v>772</v>
      </c>
      <c r="D796">
        <v>4431.26</v>
      </c>
      <c r="E796" t="s">
        <v>649</v>
      </c>
      <c r="F796">
        <v>2634.52</v>
      </c>
      <c r="G796" t="s">
        <v>649</v>
      </c>
      <c r="H796">
        <v>5050.78</v>
      </c>
      <c r="I796" t="s">
        <v>649</v>
      </c>
      <c r="K796" t="str">
        <f t="shared" si="15"/>
        <v>Yes</v>
      </c>
    </row>
    <row r="797" spans="3:11" x14ac:dyDescent="0.3">
      <c r="C797">
        <v>773</v>
      </c>
      <c r="D797">
        <v>4842.42</v>
      </c>
      <c r="E797" t="s">
        <v>649</v>
      </c>
      <c r="F797">
        <v>5941.35</v>
      </c>
      <c r="G797" t="s">
        <v>649</v>
      </c>
      <c r="H797">
        <v>4686.32</v>
      </c>
      <c r="I797" t="s">
        <v>649</v>
      </c>
      <c r="K797" t="str">
        <f t="shared" si="15"/>
        <v>Yes</v>
      </c>
    </row>
    <row r="798" spans="3:11" x14ac:dyDescent="0.3">
      <c r="C798">
        <v>774</v>
      </c>
      <c r="D798">
        <v>5297.78</v>
      </c>
      <c r="E798" t="s">
        <v>649</v>
      </c>
      <c r="F798">
        <v>2852.84</v>
      </c>
      <c r="G798" t="s">
        <v>649</v>
      </c>
      <c r="H798">
        <v>2960.82</v>
      </c>
      <c r="I798" t="s">
        <v>649</v>
      </c>
      <c r="K798" t="str">
        <f t="shared" si="15"/>
        <v>Yes</v>
      </c>
    </row>
    <row r="799" spans="3:11" x14ac:dyDescent="0.3">
      <c r="C799">
        <v>775</v>
      </c>
      <c r="D799">
        <v>5714.82</v>
      </c>
      <c r="E799" t="s">
        <v>649</v>
      </c>
      <c r="F799">
        <v>3912.91</v>
      </c>
      <c r="G799" t="s">
        <v>649</v>
      </c>
      <c r="H799">
        <v>3552.51</v>
      </c>
      <c r="I799" t="s">
        <v>649</v>
      </c>
      <c r="K799" t="str">
        <f t="shared" si="15"/>
        <v>Yes</v>
      </c>
    </row>
    <row r="800" spans="3:11" x14ac:dyDescent="0.3">
      <c r="C800">
        <v>776</v>
      </c>
      <c r="D800">
        <v>4420.08</v>
      </c>
      <c r="E800" t="s">
        <v>649</v>
      </c>
      <c r="F800">
        <v>5662.07</v>
      </c>
      <c r="G800" t="s">
        <v>649</v>
      </c>
      <c r="H800">
        <v>4157.88</v>
      </c>
      <c r="I800" t="s">
        <v>649</v>
      </c>
      <c r="K800" t="str">
        <f t="shared" si="15"/>
        <v>Yes</v>
      </c>
    </row>
    <row r="801" spans="3:11" x14ac:dyDescent="0.3">
      <c r="C801">
        <v>777</v>
      </c>
      <c r="D801">
        <v>3752.94</v>
      </c>
      <c r="E801" t="s">
        <v>649</v>
      </c>
      <c r="F801">
        <v>5346.67</v>
      </c>
      <c r="G801" t="s">
        <v>649</v>
      </c>
      <c r="H801">
        <v>3562.06</v>
      </c>
      <c r="I801" t="s">
        <v>649</v>
      </c>
      <c r="K801" t="str">
        <f t="shared" si="15"/>
        <v>Yes</v>
      </c>
    </row>
    <row r="802" spans="3:11" x14ac:dyDescent="0.3">
      <c r="C802">
        <v>778</v>
      </c>
      <c r="D802">
        <v>2846.4</v>
      </c>
      <c r="E802" t="s">
        <v>649</v>
      </c>
      <c r="F802">
        <v>3975.5</v>
      </c>
      <c r="G802" t="s">
        <v>649</v>
      </c>
      <c r="H802">
        <v>5186.6099999999997</v>
      </c>
      <c r="I802" t="s">
        <v>649</v>
      </c>
      <c r="K802" t="str">
        <f t="shared" si="15"/>
        <v>Yes</v>
      </c>
    </row>
    <row r="803" spans="3:11" x14ac:dyDescent="0.3">
      <c r="C803">
        <v>779</v>
      </c>
      <c r="D803">
        <v>1794.93</v>
      </c>
      <c r="E803" t="s">
        <v>649</v>
      </c>
      <c r="F803">
        <v>3085.19</v>
      </c>
      <c r="G803" t="s">
        <v>649</v>
      </c>
      <c r="H803">
        <v>5880.66</v>
      </c>
      <c r="I803" t="s">
        <v>649</v>
      </c>
      <c r="K803" t="str">
        <f t="shared" si="15"/>
        <v>Yes</v>
      </c>
    </row>
    <row r="804" spans="3:11" x14ac:dyDescent="0.3">
      <c r="C804">
        <v>780</v>
      </c>
      <c r="D804">
        <v>3873.56</v>
      </c>
      <c r="E804" t="s">
        <v>649</v>
      </c>
      <c r="F804">
        <v>2552.61</v>
      </c>
      <c r="G804" t="s">
        <v>649</v>
      </c>
      <c r="H804">
        <v>4536.29</v>
      </c>
      <c r="I804" t="s">
        <v>649</v>
      </c>
      <c r="K804" t="str">
        <f t="shared" si="15"/>
        <v>Yes</v>
      </c>
    </row>
    <row r="805" spans="3:11" x14ac:dyDescent="0.3">
      <c r="C805">
        <v>781</v>
      </c>
      <c r="D805">
        <v>3650.61</v>
      </c>
      <c r="E805" t="s">
        <v>649</v>
      </c>
      <c r="F805">
        <v>6851.78</v>
      </c>
      <c r="G805" t="s">
        <v>649</v>
      </c>
      <c r="H805">
        <v>4687.07</v>
      </c>
      <c r="I805" t="s">
        <v>649</v>
      </c>
      <c r="K805" t="str">
        <f t="shared" si="15"/>
        <v>Yes</v>
      </c>
    </row>
    <row r="806" spans="3:11" x14ac:dyDescent="0.3">
      <c r="C806">
        <v>782</v>
      </c>
      <c r="D806">
        <v>2020.61</v>
      </c>
      <c r="E806" t="s">
        <v>649</v>
      </c>
      <c r="F806">
        <v>3246.52</v>
      </c>
      <c r="G806" t="s">
        <v>649</v>
      </c>
      <c r="H806">
        <v>7079.71</v>
      </c>
      <c r="I806" t="s">
        <v>649</v>
      </c>
      <c r="K806" t="str">
        <f t="shared" si="15"/>
        <v>Yes</v>
      </c>
    </row>
    <row r="807" spans="3:11" x14ac:dyDescent="0.3">
      <c r="C807">
        <v>783</v>
      </c>
      <c r="D807">
        <v>6181.85</v>
      </c>
      <c r="E807" t="s">
        <v>649</v>
      </c>
      <c r="F807">
        <v>3861.93</v>
      </c>
      <c r="G807" t="s">
        <v>649</v>
      </c>
      <c r="H807">
        <v>4672.37</v>
      </c>
      <c r="I807" t="s">
        <v>649</v>
      </c>
      <c r="K807" t="str">
        <f t="shared" si="15"/>
        <v>Yes</v>
      </c>
    </row>
    <row r="808" spans="3:11" x14ac:dyDescent="0.3">
      <c r="C808">
        <v>784</v>
      </c>
      <c r="D808">
        <v>4920.42</v>
      </c>
      <c r="E808" t="s">
        <v>649</v>
      </c>
      <c r="F808">
        <v>4782.57</v>
      </c>
      <c r="G808" t="s">
        <v>649</v>
      </c>
      <c r="H808">
        <v>4340.6000000000004</v>
      </c>
      <c r="I808" t="s">
        <v>649</v>
      </c>
      <c r="K808" t="str">
        <f t="shared" si="15"/>
        <v>Yes</v>
      </c>
    </row>
    <row r="809" spans="3:11" x14ac:dyDescent="0.3">
      <c r="C809">
        <v>785</v>
      </c>
      <c r="D809">
        <v>5184.1899999999996</v>
      </c>
      <c r="E809" t="s">
        <v>649</v>
      </c>
      <c r="F809">
        <v>3751.09</v>
      </c>
      <c r="G809" t="s">
        <v>649</v>
      </c>
      <c r="H809">
        <v>3499.84</v>
      </c>
      <c r="I809" t="s">
        <v>649</v>
      </c>
      <c r="K809" t="str">
        <f t="shared" si="15"/>
        <v>Yes</v>
      </c>
    </row>
    <row r="810" spans="3:11" x14ac:dyDescent="0.3">
      <c r="C810">
        <v>786</v>
      </c>
      <c r="D810">
        <v>3695.86</v>
      </c>
      <c r="E810" t="s">
        <v>649</v>
      </c>
      <c r="F810">
        <v>2856.09</v>
      </c>
      <c r="G810" t="s">
        <v>649</v>
      </c>
      <c r="H810">
        <v>3387.2</v>
      </c>
      <c r="I810" t="s">
        <v>649</v>
      </c>
      <c r="K810" t="str">
        <f t="shared" si="15"/>
        <v>Yes</v>
      </c>
    </row>
    <row r="811" spans="3:11" x14ac:dyDescent="0.3">
      <c r="C811">
        <v>787</v>
      </c>
      <c r="D811">
        <v>3914.69</v>
      </c>
      <c r="E811" t="s">
        <v>649</v>
      </c>
      <c r="F811">
        <v>4281.37</v>
      </c>
      <c r="G811" t="s">
        <v>649</v>
      </c>
      <c r="H811">
        <v>4462.21</v>
      </c>
      <c r="I811" t="s">
        <v>649</v>
      </c>
      <c r="K811" t="str">
        <f t="shared" si="15"/>
        <v>Yes</v>
      </c>
    </row>
    <row r="812" spans="3:11" x14ac:dyDescent="0.3">
      <c r="C812">
        <v>788</v>
      </c>
      <c r="D812">
        <v>2656.65</v>
      </c>
      <c r="E812" t="s">
        <v>649</v>
      </c>
      <c r="F812">
        <v>3609.81</v>
      </c>
      <c r="G812" t="s">
        <v>649</v>
      </c>
      <c r="H812">
        <v>4747.8100000000004</v>
      </c>
      <c r="I812" t="s">
        <v>649</v>
      </c>
      <c r="K812" t="str">
        <f t="shared" si="15"/>
        <v>Yes</v>
      </c>
    </row>
    <row r="813" spans="3:11" x14ac:dyDescent="0.3">
      <c r="C813">
        <v>789</v>
      </c>
      <c r="D813">
        <v>5065.47</v>
      </c>
      <c r="E813" t="s">
        <v>649</v>
      </c>
      <c r="F813">
        <v>5199.66</v>
      </c>
      <c r="G813" t="s">
        <v>649</v>
      </c>
      <c r="H813">
        <v>4922.5</v>
      </c>
      <c r="I813" t="s">
        <v>649</v>
      </c>
      <c r="K813" t="str">
        <f t="shared" si="15"/>
        <v>Yes</v>
      </c>
    </row>
    <row r="814" spans="3:11" x14ac:dyDescent="0.3">
      <c r="C814">
        <v>790</v>
      </c>
      <c r="D814">
        <v>1719.72</v>
      </c>
      <c r="E814" t="s">
        <v>649</v>
      </c>
      <c r="F814">
        <v>3652.59</v>
      </c>
      <c r="G814" t="s">
        <v>649</v>
      </c>
      <c r="H814">
        <v>6107.87</v>
      </c>
      <c r="I814" t="s">
        <v>649</v>
      </c>
      <c r="K814" t="str">
        <f t="shared" si="15"/>
        <v>Yes</v>
      </c>
    </row>
    <row r="815" spans="3:11" x14ac:dyDescent="0.3">
      <c r="C815">
        <v>791</v>
      </c>
      <c r="D815">
        <v>5422.55</v>
      </c>
      <c r="E815" t="s">
        <v>649</v>
      </c>
      <c r="F815">
        <v>3159.76</v>
      </c>
      <c r="G815" t="s">
        <v>649</v>
      </c>
      <c r="H815">
        <v>5283.88</v>
      </c>
      <c r="I815" t="s">
        <v>649</v>
      </c>
      <c r="K815" t="str">
        <f t="shared" si="15"/>
        <v>Yes</v>
      </c>
    </row>
    <row r="816" spans="3:11" x14ac:dyDescent="0.3">
      <c r="C816">
        <v>792</v>
      </c>
      <c r="D816">
        <v>5077.99</v>
      </c>
      <c r="E816" t="s">
        <v>649</v>
      </c>
      <c r="F816">
        <v>4209.1499999999996</v>
      </c>
      <c r="G816" t="s">
        <v>649</v>
      </c>
      <c r="H816">
        <v>4867.08</v>
      </c>
      <c r="I816" t="s">
        <v>649</v>
      </c>
      <c r="K816" t="str">
        <f t="shared" si="15"/>
        <v>Yes</v>
      </c>
    </row>
    <row r="817" spans="3:11" x14ac:dyDescent="0.3">
      <c r="C817">
        <v>793</v>
      </c>
      <c r="D817">
        <v>4777.47</v>
      </c>
      <c r="E817" t="s">
        <v>649</v>
      </c>
      <c r="F817">
        <v>3315.04</v>
      </c>
      <c r="G817" t="s">
        <v>649</v>
      </c>
      <c r="H817">
        <v>4368.37</v>
      </c>
      <c r="I817" t="s">
        <v>649</v>
      </c>
      <c r="K817" t="str">
        <f t="shared" si="15"/>
        <v>Yes</v>
      </c>
    </row>
    <row r="818" spans="3:11" x14ac:dyDescent="0.3">
      <c r="C818">
        <v>794</v>
      </c>
      <c r="D818">
        <v>2511.4899999999998</v>
      </c>
      <c r="E818" t="s">
        <v>649</v>
      </c>
      <c r="F818">
        <v>4604.01</v>
      </c>
      <c r="G818" t="s">
        <v>649</v>
      </c>
      <c r="H818">
        <v>5238.0600000000004</v>
      </c>
      <c r="I818" t="s">
        <v>649</v>
      </c>
      <c r="K818" t="str">
        <f t="shared" si="15"/>
        <v>Yes</v>
      </c>
    </row>
    <row r="819" spans="3:11" x14ac:dyDescent="0.3">
      <c r="C819">
        <v>795</v>
      </c>
      <c r="D819">
        <v>4294.66</v>
      </c>
      <c r="E819" t="s">
        <v>649</v>
      </c>
      <c r="F819">
        <v>4699.71</v>
      </c>
      <c r="G819" t="s">
        <v>649</v>
      </c>
      <c r="H819">
        <v>5931.62</v>
      </c>
      <c r="I819" t="s">
        <v>649</v>
      </c>
      <c r="K819" t="str">
        <f t="shared" si="15"/>
        <v>Yes</v>
      </c>
    </row>
    <row r="820" spans="3:11" x14ac:dyDescent="0.3">
      <c r="C820">
        <v>796</v>
      </c>
      <c r="D820">
        <v>4718.43</v>
      </c>
      <c r="E820" t="s">
        <v>649</v>
      </c>
      <c r="F820">
        <v>4338.75</v>
      </c>
      <c r="G820" t="s">
        <v>649</v>
      </c>
      <c r="H820">
        <v>3990.52</v>
      </c>
      <c r="I820" t="s">
        <v>649</v>
      </c>
      <c r="K820" t="str">
        <f t="shared" si="15"/>
        <v>Yes</v>
      </c>
    </row>
    <row r="821" spans="3:11" x14ac:dyDescent="0.3">
      <c r="C821">
        <v>797</v>
      </c>
      <c r="D821">
        <v>3469.43</v>
      </c>
      <c r="E821" t="s">
        <v>649</v>
      </c>
      <c r="F821">
        <v>5054.76</v>
      </c>
      <c r="G821" t="s">
        <v>649</v>
      </c>
      <c r="H821">
        <v>5520.12</v>
      </c>
      <c r="I821" t="s">
        <v>649</v>
      </c>
      <c r="K821" t="str">
        <f t="shared" si="15"/>
        <v>Yes</v>
      </c>
    </row>
    <row r="822" spans="3:11" x14ac:dyDescent="0.3">
      <c r="C822">
        <v>798</v>
      </c>
      <c r="D822">
        <v>5108.13</v>
      </c>
      <c r="E822" t="s">
        <v>649</v>
      </c>
      <c r="F822">
        <v>3549.2</v>
      </c>
      <c r="G822" t="s">
        <v>649</v>
      </c>
      <c r="H822">
        <v>5633.17</v>
      </c>
      <c r="I822" t="s">
        <v>649</v>
      </c>
      <c r="K822" t="str">
        <f t="shared" si="15"/>
        <v>Yes</v>
      </c>
    </row>
    <row r="823" spans="3:11" x14ac:dyDescent="0.3">
      <c r="C823">
        <v>799</v>
      </c>
      <c r="D823">
        <v>5287.25</v>
      </c>
      <c r="E823" t="s">
        <v>649</v>
      </c>
      <c r="F823">
        <v>1801.42</v>
      </c>
      <c r="G823" t="s">
        <v>649</v>
      </c>
      <c r="H823">
        <v>3928.97</v>
      </c>
      <c r="I823" t="s">
        <v>649</v>
      </c>
      <c r="K823" t="str">
        <f t="shared" si="15"/>
        <v>Yes</v>
      </c>
    </row>
    <row r="824" spans="3:11" x14ac:dyDescent="0.3">
      <c r="C824">
        <v>800</v>
      </c>
      <c r="D824">
        <v>5326.82</v>
      </c>
      <c r="E824" t="s">
        <v>649</v>
      </c>
      <c r="F824">
        <v>3426.14</v>
      </c>
      <c r="G824" t="s">
        <v>649</v>
      </c>
      <c r="H824">
        <v>3950.64</v>
      </c>
      <c r="I824" t="s">
        <v>649</v>
      </c>
      <c r="K824" t="str">
        <f t="shared" si="15"/>
        <v>Yes</v>
      </c>
    </row>
    <row r="825" spans="3:11" x14ac:dyDescent="0.3">
      <c r="C825">
        <v>801</v>
      </c>
      <c r="D825">
        <v>3886.99</v>
      </c>
      <c r="E825" t="s">
        <v>649</v>
      </c>
      <c r="F825">
        <v>3971.83</v>
      </c>
      <c r="G825" t="s">
        <v>649</v>
      </c>
      <c r="H825">
        <v>3334</v>
      </c>
      <c r="I825" t="s">
        <v>649</v>
      </c>
      <c r="K825" t="str">
        <f t="shared" si="15"/>
        <v>Yes</v>
      </c>
    </row>
    <row r="826" spans="3:11" x14ac:dyDescent="0.3">
      <c r="C826">
        <v>802</v>
      </c>
      <c r="D826">
        <v>4277.67</v>
      </c>
      <c r="E826" t="s">
        <v>649</v>
      </c>
      <c r="F826">
        <v>5149.1499999999996</v>
      </c>
      <c r="G826" t="s">
        <v>649</v>
      </c>
      <c r="H826">
        <v>4556.6899999999996</v>
      </c>
      <c r="I826" t="s">
        <v>649</v>
      </c>
      <c r="K826" t="str">
        <f t="shared" si="15"/>
        <v>Yes</v>
      </c>
    </row>
    <row r="827" spans="3:11" x14ac:dyDescent="0.3">
      <c r="C827">
        <v>803</v>
      </c>
      <c r="D827">
        <v>4583.68</v>
      </c>
      <c r="E827" t="s">
        <v>649</v>
      </c>
      <c r="F827">
        <v>5143.67</v>
      </c>
      <c r="G827" t="s">
        <v>649</v>
      </c>
      <c r="H827">
        <v>4887.05</v>
      </c>
      <c r="I827" t="s">
        <v>649</v>
      </c>
      <c r="K827" t="str">
        <f t="shared" si="15"/>
        <v>Yes</v>
      </c>
    </row>
    <row r="828" spans="3:11" x14ac:dyDescent="0.3">
      <c r="C828">
        <v>804</v>
      </c>
      <c r="D828">
        <v>6706.96</v>
      </c>
      <c r="E828" t="s">
        <v>649</v>
      </c>
      <c r="F828">
        <v>4220.95</v>
      </c>
      <c r="G828" t="s">
        <v>649</v>
      </c>
      <c r="H828">
        <v>5035.6099999999997</v>
      </c>
      <c r="I828" t="s">
        <v>649</v>
      </c>
      <c r="K828" t="str">
        <f t="shared" si="15"/>
        <v>Yes</v>
      </c>
    </row>
    <row r="829" spans="3:11" x14ac:dyDescent="0.3">
      <c r="C829">
        <v>805</v>
      </c>
      <c r="D829">
        <v>4444.6499999999996</v>
      </c>
      <c r="E829" t="s">
        <v>649</v>
      </c>
      <c r="F829">
        <v>5147.5200000000004</v>
      </c>
      <c r="G829" t="s">
        <v>649</v>
      </c>
      <c r="H829">
        <v>3960.08</v>
      </c>
      <c r="I829" t="s">
        <v>649</v>
      </c>
      <c r="K829" t="str">
        <f t="shared" si="15"/>
        <v>Yes</v>
      </c>
    </row>
    <row r="830" spans="3:11" x14ac:dyDescent="0.3">
      <c r="C830">
        <v>806</v>
      </c>
      <c r="D830">
        <v>3495.91</v>
      </c>
      <c r="E830" t="s">
        <v>649</v>
      </c>
      <c r="F830">
        <v>3239.45</v>
      </c>
      <c r="G830" t="s">
        <v>649</v>
      </c>
      <c r="H830">
        <v>5156.09</v>
      </c>
      <c r="I830" t="s">
        <v>649</v>
      </c>
      <c r="K830" t="str">
        <f t="shared" si="15"/>
        <v>Yes</v>
      </c>
    </row>
    <row r="831" spans="3:11" x14ac:dyDescent="0.3">
      <c r="C831">
        <v>807</v>
      </c>
      <c r="D831">
        <v>2555.0100000000002</v>
      </c>
      <c r="E831" t="s">
        <v>649</v>
      </c>
      <c r="F831">
        <v>5932.62</v>
      </c>
      <c r="G831" t="s">
        <v>649</v>
      </c>
      <c r="H831">
        <v>3060.67</v>
      </c>
      <c r="I831" t="s">
        <v>649</v>
      </c>
      <c r="K831" t="str">
        <f t="shared" si="15"/>
        <v>Yes</v>
      </c>
    </row>
    <row r="832" spans="3:11" x14ac:dyDescent="0.3">
      <c r="C832">
        <v>808</v>
      </c>
      <c r="D832">
        <v>4178.3999999999996</v>
      </c>
      <c r="E832" t="s">
        <v>649</v>
      </c>
      <c r="F832">
        <v>4164.6499999999996</v>
      </c>
      <c r="G832" t="s">
        <v>649</v>
      </c>
      <c r="H832">
        <v>3189.47</v>
      </c>
      <c r="I832" t="s">
        <v>649</v>
      </c>
      <c r="K832" t="str">
        <f t="shared" si="15"/>
        <v>Yes</v>
      </c>
    </row>
    <row r="833" spans="3:11" x14ac:dyDescent="0.3">
      <c r="C833">
        <v>809</v>
      </c>
      <c r="D833">
        <v>4254.6099999999997</v>
      </c>
      <c r="E833" t="s">
        <v>649</v>
      </c>
      <c r="F833">
        <v>5562.34</v>
      </c>
      <c r="G833" t="s">
        <v>649</v>
      </c>
      <c r="H833">
        <v>3946.1</v>
      </c>
      <c r="I833" t="s">
        <v>649</v>
      </c>
      <c r="K833" t="str">
        <f t="shared" si="15"/>
        <v>Yes</v>
      </c>
    </row>
    <row r="834" spans="3:11" x14ac:dyDescent="0.3">
      <c r="C834">
        <v>810</v>
      </c>
      <c r="D834">
        <v>3814.06</v>
      </c>
      <c r="E834" t="s">
        <v>649</v>
      </c>
      <c r="F834">
        <v>5679.93</v>
      </c>
      <c r="G834" t="s">
        <v>649</v>
      </c>
      <c r="H834">
        <v>4363.7299999999996</v>
      </c>
      <c r="I834" t="s">
        <v>649</v>
      </c>
      <c r="K834" t="str">
        <f t="shared" si="15"/>
        <v>Yes</v>
      </c>
    </row>
    <row r="835" spans="3:11" x14ac:dyDescent="0.3">
      <c r="C835">
        <v>811</v>
      </c>
      <c r="D835">
        <v>4639.5600000000004</v>
      </c>
      <c r="E835" t="s">
        <v>649</v>
      </c>
      <c r="F835">
        <v>6797.51</v>
      </c>
      <c r="G835" t="s">
        <v>649</v>
      </c>
      <c r="H835">
        <v>4563.32</v>
      </c>
      <c r="I835" t="s">
        <v>649</v>
      </c>
      <c r="K835" t="str">
        <f t="shared" si="15"/>
        <v>Yes</v>
      </c>
    </row>
    <row r="836" spans="3:11" x14ac:dyDescent="0.3">
      <c r="C836">
        <v>812</v>
      </c>
      <c r="D836">
        <v>3536.59</v>
      </c>
      <c r="E836" t="s">
        <v>649</v>
      </c>
      <c r="F836">
        <v>4121.3100000000004</v>
      </c>
      <c r="G836" t="s">
        <v>649</v>
      </c>
      <c r="H836">
        <v>4032.92</v>
      </c>
      <c r="I836" t="s">
        <v>649</v>
      </c>
      <c r="K836" t="str">
        <f t="shared" si="15"/>
        <v>Yes</v>
      </c>
    </row>
    <row r="837" spans="3:11" x14ac:dyDescent="0.3">
      <c r="C837">
        <v>813</v>
      </c>
      <c r="D837">
        <v>5006.45</v>
      </c>
      <c r="E837" t="s">
        <v>649</v>
      </c>
      <c r="F837">
        <v>5014.04</v>
      </c>
      <c r="G837" t="s">
        <v>649</v>
      </c>
      <c r="H837">
        <v>5001.3</v>
      </c>
      <c r="I837" t="s">
        <v>649</v>
      </c>
      <c r="K837" t="str">
        <f t="shared" si="15"/>
        <v>Yes</v>
      </c>
    </row>
    <row r="838" spans="3:11" x14ac:dyDescent="0.3">
      <c r="C838">
        <v>814</v>
      </c>
      <c r="D838">
        <v>4710.8100000000004</v>
      </c>
      <c r="E838" t="s">
        <v>649</v>
      </c>
      <c r="F838">
        <v>4752.0200000000004</v>
      </c>
      <c r="G838" t="s">
        <v>649</v>
      </c>
      <c r="H838">
        <v>5116.49</v>
      </c>
      <c r="I838" t="s">
        <v>649</v>
      </c>
      <c r="K838" t="str">
        <f t="shared" si="15"/>
        <v>Yes</v>
      </c>
    </row>
    <row r="839" spans="3:11" x14ac:dyDescent="0.3">
      <c r="C839">
        <v>815</v>
      </c>
      <c r="D839">
        <v>4957.79</v>
      </c>
      <c r="E839" t="s">
        <v>649</v>
      </c>
      <c r="F839">
        <v>4468.45</v>
      </c>
      <c r="G839" t="s">
        <v>649</v>
      </c>
      <c r="H839">
        <v>3290.87</v>
      </c>
      <c r="I839" t="s">
        <v>649</v>
      </c>
      <c r="K839" t="str">
        <f t="shared" si="15"/>
        <v>Yes</v>
      </c>
    </row>
    <row r="840" spans="3:11" x14ac:dyDescent="0.3">
      <c r="C840">
        <v>816</v>
      </c>
      <c r="D840">
        <v>3195.32</v>
      </c>
      <c r="E840" t="s">
        <v>649</v>
      </c>
      <c r="F840">
        <v>5908.31</v>
      </c>
      <c r="G840" t="s">
        <v>649</v>
      </c>
      <c r="H840">
        <v>4023.83</v>
      </c>
      <c r="I840" t="s">
        <v>649</v>
      </c>
      <c r="K840" t="str">
        <f t="shared" si="15"/>
        <v>Yes</v>
      </c>
    </row>
    <row r="841" spans="3:11" x14ac:dyDescent="0.3">
      <c r="C841">
        <v>817</v>
      </c>
      <c r="D841">
        <v>2155.4699999999998</v>
      </c>
      <c r="E841" t="s">
        <v>649</v>
      </c>
      <c r="F841">
        <v>2866.7</v>
      </c>
      <c r="G841" t="s">
        <v>649</v>
      </c>
      <c r="H841">
        <v>6100.52</v>
      </c>
      <c r="I841" t="s">
        <v>649</v>
      </c>
      <c r="K841" t="str">
        <f t="shared" si="15"/>
        <v>Yes</v>
      </c>
    </row>
    <row r="842" spans="3:11" x14ac:dyDescent="0.3">
      <c r="C842">
        <v>818</v>
      </c>
      <c r="D842">
        <v>6080.92</v>
      </c>
      <c r="E842" t="s">
        <v>649</v>
      </c>
      <c r="F842">
        <v>4784.3599999999997</v>
      </c>
      <c r="G842" t="s">
        <v>649</v>
      </c>
      <c r="H842">
        <v>4241.1000000000004</v>
      </c>
      <c r="I842" t="s">
        <v>649</v>
      </c>
      <c r="K842" t="str">
        <f t="shared" si="15"/>
        <v>Yes</v>
      </c>
    </row>
    <row r="843" spans="3:11" x14ac:dyDescent="0.3">
      <c r="C843">
        <v>819</v>
      </c>
      <c r="D843">
        <v>3717.9</v>
      </c>
      <c r="E843" t="s">
        <v>649</v>
      </c>
      <c r="F843">
        <v>4031.98</v>
      </c>
      <c r="G843" t="s">
        <v>649</v>
      </c>
      <c r="H843">
        <v>4151.76</v>
      </c>
      <c r="I843" t="s">
        <v>649</v>
      </c>
      <c r="K843" t="str">
        <f t="shared" si="15"/>
        <v>Yes</v>
      </c>
    </row>
    <row r="844" spans="3:11" x14ac:dyDescent="0.3">
      <c r="C844">
        <v>820</v>
      </c>
      <c r="D844">
        <v>3801.95</v>
      </c>
      <c r="E844" t="s">
        <v>649</v>
      </c>
      <c r="F844">
        <v>5649.76</v>
      </c>
      <c r="G844" t="s">
        <v>649</v>
      </c>
      <c r="H844">
        <v>4787.1400000000003</v>
      </c>
      <c r="I844" t="s">
        <v>649</v>
      </c>
      <c r="K844" t="str">
        <f t="shared" si="15"/>
        <v>Yes</v>
      </c>
    </row>
    <row r="845" spans="3:11" x14ac:dyDescent="0.3">
      <c r="C845">
        <v>821</v>
      </c>
      <c r="D845">
        <v>4540.6499999999996</v>
      </c>
      <c r="E845" t="s">
        <v>649</v>
      </c>
      <c r="F845">
        <v>3894.76</v>
      </c>
      <c r="G845" t="s">
        <v>649</v>
      </c>
      <c r="H845">
        <v>3807</v>
      </c>
      <c r="I845" t="s">
        <v>649</v>
      </c>
      <c r="K845" t="str">
        <f t="shared" si="15"/>
        <v>Yes</v>
      </c>
    </row>
    <row r="846" spans="3:11" x14ac:dyDescent="0.3">
      <c r="C846">
        <v>822</v>
      </c>
      <c r="D846">
        <v>3931.12</v>
      </c>
      <c r="E846" t="s">
        <v>649</v>
      </c>
      <c r="F846">
        <v>4431.2</v>
      </c>
      <c r="G846" t="s">
        <v>649</v>
      </c>
      <c r="H846">
        <v>4882.76</v>
      </c>
      <c r="I846" t="s">
        <v>649</v>
      </c>
      <c r="K846" t="str">
        <f t="shared" si="15"/>
        <v>Yes</v>
      </c>
    </row>
    <row r="847" spans="3:11" x14ac:dyDescent="0.3">
      <c r="C847">
        <v>823</v>
      </c>
      <c r="D847">
        <v>4289.66</v>
      </c>
      <c r="E847" t="s">
        <v>649</v>
      </c>
      <c r="F847">
        <v>2996.25</v>
      </c>
      <c r="G847" t="s">
        <v>649</v>
      </c>
      <c r="H847">
        <v>2333.9699999999998</v>
      </c>
      <c r="I847" t="s">
        <v>649</v>
      </c>
      <c r="K847" t="str">
        <f t="shared" si="15"/>
        <v>Yes</v>
      </c>
    </row>
    <row r="848" spans="3:11" x14ac:dyDescent="0.3">
      <c r="C848">
        <v>824</v>
      </c>
      <c r="D848">
        <v>3964.96</v>
      </c>
      <c r="E848" t="s">
        <v>649</v>
      </c>
      <c r="F848">
        <v>3862.31</v>
      </c>
      <c r="G848" t="s">
        <v>649</v>
      </c>
      <c r="H848">
        <v>3878.73</v>
      </c>
      <c r="I848" t="s">
        <v>649</v>
      </c>
      <c r="K848" t="str">
        <f t="shared" si="15"/>
        <v>Yes</v>
      </c>
    </row>
    <row r="849" spans="3:11" x14ac:dyDescent="0.3">
      <c r="C849">
        <v>825</v>
      </c>
      <c r="D849">
        <v>2301.98</v>
      </c>
      <c r="E849" t="s">
        <v>649</v>
      </c>
      <c r="F849">
        <v>4549.01</v>
      </c>
      <c r="G849" t="s">
        <v>649</v>
      </c>
      <c r="H849">
        <v>3852.7</v>
      </c>
      <c r="I849" t="s">
        <v>649</v>
      </c>
      <c r="K849" t="str">
        <f t="shared" si="15"/>
        <v>Yes</v>
      </c>
    </row>
    <row r="850" spans="3:11" x14ac:dyDescent="0.3">
      <c r="C850">
        <v>826</v>
      </c>
      <c r="D850">
        <v>6575.7</v>
      </c>
      <c r="E850" t="s">
        <v>649</v>
      </c>
      <c r="F850">
        <v>3992.13</v>
      </c>
      <c r="G850" t="s">
        <v>649</v>
      </c>
      <c r="H850">
        <v>3723.62</v>
      </c>
      <c r="I850" t="s">
        <v>649</v>
      </c>
      <c r="K850" t="str">
        <f t="shared" si="15"/>
        <v>Yes</v>
      </c>
    </row>
    <row r="851" spans="3:11" x14ac:dyDescent="0.3">
      <c r="C851">
        <v>827</v>
      </c>
      <c r="D851">
        <v>5858.81</v>
      </c>
      <c r="E851" t="s">
        <v>649</v>
      </c>
      <c r="F851">
        <v>5380.78</v>
      </c>
      <c r="G851" t="s">
        <v>649</v>
      </c>
      <c r="H851">
        <v>4585.4399999999996</v>
      </c>
      <c r="I851" t="s">
        <v>649</v>
      </c>
      <c r="K851" t="str">
        <f t="shared" si="15"/>
        <v>Yes</v>
      </c>
    </row>
    <row r="852" spans="3:11" x14ac:dyDescent="0.3">
      <c r="C852">
        <v>828</v>
      </c>
      <c r="D852">
        <v>4273.67</v>
      </c>
      <c r="E852" t="s">
        <v>649</v>
      </c>
      <c r="F852">
        <v>5207.03</v>
      </c>
      <c r="G852" t="s">
        <v>649</v>
      </c>
      <c r="H852">
        <v>4535.6099999999997</v>
      </c>
      <c r="I852" t="s">
        <v>649</v>
      </c>
      <c r="K852" t="str">
        <f t="shared" si="15"/>
        <v>Yes</v>
      </c>
    </row>
    <row r="853" spans="3:11" x14ac:dyDescent="0.3">
      <c r="C853">
        <v>829</v>
      </c>
      <c r="D853">
        <v>4231.43</v>
      </c>
      <c r="E853" t="s">
        <v>649</v>
      </c>
      <c r="F853">
        <v>4567.18</v>
      </c>
      <c r="G853" t="s">
        <v>649</v>
      </c>
      <c r="H853">
        <v>3850.86</v>
      </c>
      <c r="I853" t="s">
        <v>649</v>
      </c>
      <c r="K853" t="str">
        <f t="shared" si="15"/>
        <v>Yes</v>
      </c>
    </row>
    <row r="854" spans="3:11" x14ac:dyDescent="0.3">
      <c r="C854">
        <v>830</v>
      </c>
      <c r="D854">
        <v>5472.82</v>
      </c>
      <c r="E854" t="s">
        <v>649</v>
      </c>
      <c r="F854">
        <v>3608.29</v>
      </c>
      <c r="G854" t="s">
        <v>649</v>
      </c>
      <c r="H854">
        <v>5592.53</v>
      </c>
      <c r="I854" t="s">
        <v>649</v>
      </c>
      <c r="K854" t="str">
        <f t="shared" si="15"/>
        <v>Yes</v>
      </c>
    </row>
    <row r="855" spans="3:11" x14ac:dyDescent="0.3">
      <c r="C855">
        <v>831</v>
      </c>
      <c r="D855">
        <v>2090.52</v>
      </c>
      <c r="E855" t="s">
        <v>649</v>
      </c>
      <c r="F855">
        <v>3246.22</v>
      </c>
      <c r="G855" t="s">
        <v>649</v>
      </c>
      <c r="H855">
        <v>3802.08</v>
      </c>
      <c r="I855" t="s">
        <v>649</v>
      </c>
      <c r="K855" t="str">
        <f t="shared" si="15"/>
        <v>Yes</v>
      </c>
    </row>
    <row r="856" spans="3:11" x14ac:dyDescent="0.3">
      <c r="C856">
        <v>832</v>
      </c>
      <c r="D856">
        <v>4096.17</v>
      </c>
      <c r="E856" t="s">
        <v>649</v>
      </c>
      <c r="F856">
        <v>3207.6</v>
      </c>
      <c r="G856" t="s">
        <v>649</v>
      </c>
      <c r="H856">
        <v>5149.75</v>
      </c>
      <c r="I856" t="s">
        <v>649</v>
      </c>
      <c r="K856" t="str">
        <f t="shared" si="15"/>
        <v>Yes</v>
      </c>
    </row>
    <row r="857" spans="3:11" x14ac:dyDescent="0.3">
      <c r="C857">
        <v>833</v>
      </c>
      <c r="D857">
        <v>3914.59</v>
      </c>
      <c r="E857" t="s">
        <v>649</v>
      </c>
      <c r="F857">
        <v>3776.37</v>
      </c>
      <c r="G857" t="s">
        <v>649</v>
      </c>
      <c r="H857">
        <v>5792.48</v>
      </c>
      <c r="I857" t="s">
        <v>649</v>
      </c>
      <c r="K857" t="str">
        <f t="shared" ref="K857:K920" si="16">IF(AND(E857="No",G857="No",I857="No"),"No","Yes")</f>
        <v>Yes</v>
      </c>
    </row>
    <row r="858" spans="3:11" x14ac:dyDescent="0.3">
      <c r="C858">
        <v>834</v>
      </c>
      <c r="D858">
        <v>3366.84</v>
      </c>
      <c r="E858" t="s">
        <v>649</v>
      </c>
      <c r="F858">
        <v>4139.9799999999996</v>
      </c>
      <c r="G858" t="s">
        <v>649</v>
      </c>
      <c r="H858">
        <v>4922.2</v>
      </c>
      <c r="I858" t="s">
        <v>649</v>
      </c>
      <c r="K858" t="str">
        <f t="shared" si="16"/>
        <v>Yes</v>
      </c>
    </row>
    <row r="859" spans="3:11" x14ac:dyDescent="0.3">
      <c r="C859">
        <v>835</v>
      </c>
      <c r="D859">
        <v>4359.1000000000004</v>
      </c>
      <c r="E859" t="s">
        <v>649</v>
      </c>
      <c r="F859">
        <v>4726.42</v>
      </c>
      <c r="G859" t="s">
        <v>649</v>
      </c>
      <c r="H859">
        <v>4390.08</v>
      </c>
      <c r="I859" t="s">
        <v>649</v>
      </c>
      <c r="K859" t="str">
        <f t="shared" si="16"/>
        <v>Yes</v>
      </c>
    </row>
    <row r="860" spans="3:11" x14ac:dyDescent="0.3">
      <c r="C860">
        <v>836</v>
      </c>
      <c r="D860">
        <v>4677.8500000000004</v>
      </c>
      <c r="E860" t="s">
        <v>649</v>
      </c>
      <c r="F860">
        <v>1421.07</v>
      </c>
      <c r="G860" t="s">
        <v>649</v>
      </c>
      <c r="H860">
        <v>4832</v>
      </c>
      <c r="I860" t="s">
        <v>649</v>
      </c>
      <c r="K860" t="str">
        <f t="shared" si="16"/>
        <v>Yes</v>
      </c>
    </row>
    <row r="861" spans="3:11" x14ac:dyDescent="0.3">
      <c r="C861">
        <v>837</v>
      </c>
      <c r="D861">
        <v>4252.25</v>
      </c>
      <c r="E861" t="s">
        <v>649</v>
      </c>
      <c r="F861">
        <v>2614.3200000000002</v>
      </c>
      <c r="G861" t="s">
        <v>649</v>
      </c>
      <c r="H861">
        <v>3949.23</v>
      </c>
      <c r="I861" t="s">
        <v>649</v>
      </c>
      <c r="K861" t="str">
        <f t="shared" si="16"/>
        <v>Yes</v>
      </c>
    </row>
    <row r="862" spans="3:11" x14ac:dyDescent="0.3">
      <c r="C862">
        <v>838</v>
      </c>
      <c r="D862">
        <v>4158.51</v>
      </c>
      <c r="E862" t="s">
        <v>649</v>
      </c>
      <c r="F862">
        <v>3813.37</v>
      </c>
      <c r="G862" t="s">
        <v>649</v>
      </c>
      <c r="H862">
        <v>4456.49</v>
      </c>
      <c r="I862" t="s">
        <v>649</v>
      </c>
      <c r="K862" t="str">
        <f t="shared" si="16"/>
        <v>Yes</v>
      </c>
    </row>
    <row r="863" spans="3:11" x14ac:dyDescent="0.3">
      <c r="C863">
        <v>839</v>
      </c>
      <c r="D863">
        <v>4172.9399999999996</v>
      </c>
      <c r="E863" t="s">
        <v>649</v>
      </c>
      <c r="F863">
        <v>3506.37</v>
      </c>
      <c r="G863" t="s">
        <v>649</v>
      </c>
      <c r="H863">
        <v>4090.85</v>
      </c>
      <c r="I863" t="s">
        <v>649</v>
      </c>
      <c r="K863" t="str">
        <f t="shared" si="16"/>
        <v>Yes</v>
      </c>
    </row>
    <row r="864" spans="3:11" x14ac:dyDescent="0.3">
      <c r="C864">
        <v>840</v>
      </c>
      <c r="D864">
        <v>4044.49</v>
      </c>
      <c r="E864" t="s">
        <v>649</v>
      </c>
      <c r="F864">
        <v>4549.33</v>
      </c>
      <c r="G864" t="s">
        <v>649</v>
      </c>
      <c r="H864">
        <v>4867.3100000000004</v>
      </c>
      <c r="I864" t="s">
        <v>649</v>
      </c>
      <c r="K864" t="str">
        <f t="shared" si="16"/>
        <v>Yes</v>
      </c>
    </row>
    <row r="865" spans="3:11" x14ac:dyDescent="0.3">
      <c r="C865">
        <v>841</v>
      </c>
      <c r="D865">
        <v>4513.1000000000004</v>
      </c>
      <c r="E865" t="s">
        <v>649</v>
      </c>
      <c r="F865">
        <v>3913.9</v>
      </c>
      <c r="G865" t="s">
        <v>649</v>
      </c>
      <c r="H865">
        <v>3659.99</v>
      </c>
      <c r="I865" t="s">
        <v>649</v>
      </c>
      <c r="K865" t="str">
        <f t="shared" si="16"/>
        <v>Yes</v>
      </c>
    </row>
    <row r="866" spans="3:11" x14ac:dyDescent="0.3">
      <c r="C866">
        <v>842</v>
      </c>
      <c r="D866">
        <v>4671.5200000000004</v>
      </c>
      <c r="E866" t="s">
        <v>649</v>
      </c>
      <c r="F866">
        <v>5030.6000000000004</v>
      </c>
      <c r="G866" t="s">
        <v>649</v>
      </c>
      <c r="H866">
        <v>4212.17</v>
      </c>
      <c r="I866" t="s">
        <v>649</v>
      </c>
      <c r="K866" t="str">
        <f t="shared" si="16"/>
        <v>Yes</v>
      </c>
    </row>
    <row r="867" spans="3:11" x14ac:dyDescent="0.3">
      <c r="C867">
        <v>843</v>
      </c>
      <c r="D867">
        <v>5764</v>
      </c>
      <c r="E867" t="s">
        <v>649</v>
      </c>
      <c r="F867">
        <v>4604.58</v>
      </c>
      <c r="G867" t="s">
        <v>649</v>
      </c>
      <c r="H867">
        <v>5143.28</v>
      </c>
      <c r="I867" t="s">
        <v>649</v>
      </c>
      <c r="K867" t="str">
        <f t="shared" si="16"/>
        <v>Yes</v>
      </c>
    </row>
    <row r="868" spans="3:11" x14ac:dyDescent="0.3">
      <c r="C868">
        <v>844</v>
      </c>
      <c r="D868">
        <v>4852.0600000000004</v>
      </c>
      <c r="E868" t="s">
        <v>649</v>
      </c>
      <c r="F868">
        <v>5718.87</v>
      </c>
      <c r="G868" t="s">
        <v>649</v>
      </c>
      <c r="H868">
        <v>5176.13</v>
      </c>
      <c r="I868" t="s">
        <v>649</v>
      </c>
      <c r="K868" t="str">
        <f t="shared" si="16"/>
        <v>Yes</v>
      </c>
    </row>
    <row r="869" spans="3:11" x14ac:dyDescent="0.3">
      <c r="C869">
        <v>845</v>
      </c>
      <c r="D869">
        <v>4927</v>
      </c>
      <c r="E869" t="s">
        <v>649</v>
      </c>
      <c r="F869">
        <v>4168.75</v>
      </c>
      <c r="G869" t="s">
        <v>649</v>
      </c>
      <c r="H869">
        <v>6066.82</v>
      </c>
      <c r="I869" t="s">
        <v>649</v>
      </c>
      <c r="K869" t="str">
        <f t="shared" si="16"/>
        <v>Yes</v>
      </c>
    </row>
    <row r="870" spans="3:11" x14ac:dyDescent="0.3">
      <c r="C870">
        <v>846</v>
      </c>
      <c r="D870">
        <v>3342.46</v>
      </c>
      <c r="E870" t="s">
        <v>649</v>
      </c>
      <c r="F870">
        <v>4036.97</v>
      </c>
      <c r="G870" t="s">
        <v>649</v>
      </c>
      <c r="H870">
        <v>3171.95</v>
      </c>
      <c r="I870" t="s">
        <v>649</v>
      </c>
      <c r="K870" t="str">
        <f t="shared" si="16"/>
        <v>Yes</v>
      </c>
    </row>
    <row r="871" spans="3:11" x14ac:dyDescent="0.3">
      <c r="C871">
        <v>847</v>
      </c>
      <c r="D871">
        <v>4408.16</v>
      </c>
      <c r="E871" t="s">
        <v>649</v>
      </c>
      <c r="F871">
        <v>4527.67</v>
      </c>
      <c r="G871" t="s">
        <v>649</v>
      </c>
      <c r="H871">
        <v>3591.11</v>
      </c>
      <c r="I871" t="s">
        <v>649</v>
      </c>
      <c r="K871" t="str">
        <f t="shared" si="16"/>
        <v>Yes</v>
      </c>
    </row>
    <row r="872" spans="3:11" x14ac:dyDescent="0.3">
      <c r="C872">
        <v>848</v>
      </c>
      <c r="D872">
        <v>4235.41</v>
      </c>
      <c r="E872" t="s">
        <v>649</v>
      </c>
      <c r="F872">
        <v>3189.45</v>
      </c>
      <c r="G872" t="s">
        <v>649</v>
      </c>
      <c r="H872">
        <v>3861.02</v>
      </c>
      <c r="I872" t="s">
        <v>649</v>
      </c>
      <c r="K872" t="str">
        <f t="shared" si="16"/>
        <v>Yes</v>
      </c>
    </row>
    <row r="873" spans="3:11" x14ac:dyDescent="0.3">
      <c r="C873">
        <v>849</v>
      </c>
      <c r="D873">
        <v>2874.57</v>
      </c>
      <c r="E873" t="s">
        <v>649</v>
      </c>
      <c r="F873">
        <v>4871.62</v>
      </c>
      <c r="G873" t="s">
        <v>649</v>
      </c>
      <c r="H873">
        <v>4320.18</v>
      </c>
      <c r="I873" t="s">
        <v>649</v>
      </c>
      <c r="K873" t="str">
        <f t="shared" si="16"/>
        <v>Yes</v>
      </c>
    </row>
    <row r="874" spans="3:11" x14ac:dyDescent="0.3">
      <c r="C874">
        <v>850</v>
      </c>
      <c r="D874">
        <v>3489.45</v>
      </c>
      <c r="E874" t="s">
        <v>649</v>
      </c>
      <c r="F874">
        <v>7816.16</v>
      </c>
      <c r="G874" t="s">
        <v>649</v>
      </c>
      <c r="H874">
        <v>4470.76</v>
      </c>
      <c r="I874" t="s">
        <v>649</v>
      </c>
      <c r="K874" t="str">
        <f t="shared" si="16"/>
        <v>Yes</v>
      </c>
    </row>
    <row r="875" spans="3:11" x14ac:dyDescent="0.3">
      <c r="C875">
        <v>851</v>
      </c>
      <c r="D875">
        <v>2572.15</v>
      </c>
      <c r="E875" t="s">
        <v>649</v>
      </c>
      <c r="F875">
        <v>3863.71</v>
      </c>
      <c r="G875" t="s">
        <v>649</v>
      </c>
      <c r="H875">
        <v>5857.34</v>
      </c>
      <c r="I875" t="s">
        <v>649</v>
      </c>
      <c r="K875" t="str">
        <f t="shared" si="16"/>
        <v>Yes</v>
      </c>
    </row>
    <row r="876" spans="3:11" x14ac:dyDescent="0.3">
      <c r="C876">
        <v>852</v>
      </c>
      <c r="D876">
        <v>2285.87</v>
      </c>
      <c r="E876" t="s">
        <v>649</v>
      </c>
      <c r="F876">
        <v>5056.3100000000004</v>
      </c>
      <c r="G876" t="s">
        <v>649</v>
      </c>
      <c r="H876">
        <v>3731.43</v>
      </c>
      <c r="I876" t="s">
        <v>649</v>
      </c>
      <c r="K876" t="str">
        <f t="shared" si="16"/>
        <v>Yes</v>
      </c>
    </row>
    <row r="877" spans="3:11" x14ac:dyDescent="0.3">
      <c r="C877">
        <v>853</v>
      </c>
      <c r="D877">
        <v>4807.34</v>
      </c>
      <c r="E877" t="s">
        <v>649</v>
      </c>
      <c r="F877">
        <v>4733.3999999999996</v>
      </c>
      <c r="G877" t="s">
        <v>649</v>
      </c>
      <c r="H877">
        <v>4260.8999999999996</v>
      </c>
      <c r="I877" t="s">
        <v>649</v>
      </c>
      <c r="K877" t="str">
        <f t="shared" si="16"/>
        <v>Yes</v>
      </c>
    </row>
    <row r="878" spans="3:11" x14ac:dyDescent="0.3">
      <c r="C878">
        <v>854</v>
      </c>
      <c r="D878">
        <v>4822.29</v>
      </c>
      <c r="E878" t="s">
        <v>649</v>
      </c>
      <c r="F878">
        <v>4918.16</v>
      </c>
      <c r="G878" t="s">
        <v>649</v>
      </c>
      <c r="H878">
        <v>5156.8999999999996</v>
      </c>
      <c r="I878" t="s">
        <v>649</v>
      </c>
      <c r="K878" t="str">
        <f t="shared" si="16"/>
        <v>Yes</v>
      </c>
    </row>
    <row r="879" spans="3:11" x14ac:dyDescent="0.3">
      <c r="C879">
        <v>855</v>
      </c>
      <c r="D879">
        <v>3566.08</v>
      </c>
      <c r="E879" t="s">
        <v>649</v>
      </c>
      <c r="F879">
        <v>4897.28</v>
      </c>
      <c r="G879" t="s">
        <v>649</v>
      </c>
      <c r="H879">
        <v>5552.54</v>
      </c>
      <c r="I879" t="s">
        <v>649</v>
      </c>
      <c r="K879" t="str">
        <f t="shared" si="16"/>
        <v>Yes</v>
      </c>
    </row>
    <row r="880" spans="3:11" x14ac:dyDescent="0.3">
      <c r="C880">
        <v>856</v>
      </c>
      <c r="D880">
        <v>4055.55</v>
      </c>
      <c r="E880" t="s">
        <v>649</v>
      </c>
      <c r="F880">
        <v>4274.8999999999996</v>
      </c>
      <c r="G880" t="s">
        <v>649</v>
      </c>
      <c r="H880">
        <v>2757.47</v>
      </c>
      <c r="I880" t="s">
        <v>649</v>
      </c>
      <c r="K880" t="str">
        <f t="shared" si="16"/>
        <v>Yes</v>
      </c>
    </row>
    <row r="881" spans="3:11" x14ac:dyDescent="0.3">
      <c r="C881">
        <v>857</v>
      </c>
      <c r="D881">
        <v>4343.78</v>
      </c>
      <c r="E881" t="s">
        <v>649</v>
      </c>
      <c r="F881">
        <v>6048.52</v>
      </c>
      <c r="G881" t="s">
        <v>649</v>
      </c>
      <c r="H881">
        <v>4961.9399999999996</v>
      </c>
      <c r="I881" t="s">
        <v>649</v>
      </c>
      <c r="K881" t="str">
        <f t="shared" si="16"/>
        <v>Yes</v>
      </c>
    </row>
    <row r="882" spans="3:11" x14ac:dyDescent="0.3">
      <c r="C882">
        <v>858</v>
      </c>
      <c r="D882">
        <v>5185.26</v>
      </c>
      <c r="E882" t="s">
        <v>649</v>
      </c>
      <c r="F882">
        <v>2629.67</v>
      </c>
      <c r="G882" t="s">
        <v>649</v>
      </c>
      <c r="H882">
        <v>4448.3599999999997</v>
      </c>
      <c r="I882" t="s">
        <v>649</v>
      </c>
      <c r="K882" t="str">
        <f t="shared" si="16"/>
        <v>Yes</v>
      </c>
    </row>
    <row r="883" spans="3:11" x14ac:dyDescent="0.3">
      <c r="C883">
        <v>859</v>
      </c>
      <c r="D883">
        <v>4217.88</v>
      </c>
      <c r="E883" t="s">
        <v>649</v>
      </c>
      <c r="F883">
        <v>4453.22</v>
      </c>
      <c r="G883" t="s">
        <v>649</v>
      </c>
      <c r="H883">
        <v>2916.75</v>
      </c>
      <c r="I883" t="s">
        <v>649</v>
      </c>
      <c r="K883" t="str">
        <f t="shared" si="16"/>
        <v>Yes</v>
      </c>
    </row>
    <row r="884" spans="3:11" x14ac:dyDescent="0.3">
      <c r="C884">
        <v>860</v>
      </c>
      <c r="D884">
        <v>4139.6400000000003</v>
      </c>
      <c r="E884" t="s">
        <v>649</v>
      </c>
      <c r="F884">
        <v>5885.2</v>
      </c>
      <c r="G884" t="s">
        <v>649</v>
      </c>
      <c r="H884">
        <v>5105.93</v>
      </c>
      <c r="I884" t="s">
        <v>649</v>
      </c>
      <c r="K884" t="str">
        <f t="shared" si="16"/>
        <v>Yes</v>
      </c>
    </row>
    <row r="885" spans="3:11" x14ac:dyDescent="0.3">
      <c r="C885">
        <v>861</v>
      </c>
      <c r="D885">
        <v>6342.33</v>
      </c>
      <c r="E885" t="s">
        <v>649</v>
      </c>
      <c r="F885">
        <v>5189.41</v>
      </c>
      <c r="G885" t="s">
        <v>649</v>
      </c>
      <c r="H885">
        <v>5186.9799999999996</v>
      </c>
      <c r="I885" t="s">
        <v>649</v>
      </c>
      <c r="K885" t="str">
        <f t="shared" si="16"/>
        <v>Yes</v>
      </c>
    </row>
    <row r="886" spans="3:11" x14ac:dyDescent="0.3">
      <c r="C886">
        <v>862</v>
      </c>
      <c r="D886">
        <v>4369.2700000000004</v>
      </c>
      <c r="E886" t="s">
        <v>649</v>
      </c>
      <c r="F886">
        <v>5040.5600000000004</v>
      </c>
      <c r="G886" t="s">
        <v>649</v>
      </c>
      <c r="H886">
        <v>5814.29</v>
      </c>
      <c r="I886" t="s">
        <v>649</v>
      </c>
      <c r="K886" t="str">
        <f t="shared" si="16"/>
        <v>Yes</v>
      </c>
    </row>
    <row r="887" spans="3:11" x14ac:dyDescent="0.3">
      <c r="C887">
        <v>863</v>
      </c>
      <c r="D887">
        <v>4461.9399999999996</v>
      </c>
      <c r="E887" t="s">
        <v>649</v>
      </c>
      <c r="F887">
        <v>6928.98</v>
      </c>
      <c r="G887" t="s">
        <v>649</v>
      </c>
      <c r="H887">
        <v>3904.36</v>
      </c>
      <c r="I887" t="s">
        <v>649</v>
      </c>
      <c r="K887" t="str">
        <f t="shared" si="16"/>
        <v>Yes</v>
      </c>
    </row>
    <row r="888" spans="3:11" x14ac:dyDescent="0.3">
      <c r="C888">
        <v>864</v>
      </c>
      <c r="D888">
        <v>3375.88</v>
      </c>
      <c r="E888" t="s">
        <v>649</v>
      </c>
      <c r="F888">
        <v>5314.7</v>
      </c>
      <c r="G888" t="s">
        <v>649</v>
      </c>
      <c r="H888">
        <v>6256.74</v>
      </c>
      <c r="I888" t="s">
        <v>649</v>
      </c>
      <c r="K888" t="str">
        <f t="shared" si="16"/>
        <v>Yes</v>
      </c>
    </row>
    <row r="889" spans="3:11" x14ac:dyDescent="0.3">
      <c r="C889">
        <v>865</v>
      </c>
      <c r="D889">
        <v>4058.59</v>
      </c>
      <c r="E889" t="s">
        <v>649</v>
      </c>
      <c r="F889">
        <v>2667.88</v>
      </c>
      <c r="G889" t="s">
        <v>649</v>
      </c>
      <c r="H889">
        <v>3452.04</v>
      </c>
      <c r="I889" t="s">
        <v>649</v>
      </c>
      <c r="K889" t="str">
        <f t="shared" si="16"/>
        <v>Yes</v>
      </c>
    </row>
    <row r="890" spans="3:11" x14ac:dyDescent="0.3">
      <c r="C890">
        <v>866</v>
      </c>
      <c r="D890">
        <v>3021.69</v>
      </c>
      <c r="E890" t="s">
        <v>649</v>
      </c>
      <c r="F890">
        <v>3824.51</v>
      </c>
      <c r="G890" t="s">
        <v>649</v>
      </c>
      <c r="H890">
        <v>4971.1499999999996</v>
      </c>
      <c r="I890" t="s">
        <v>649</v>
      </c>
      <c r="K890" t="str">
        <f t="shared" si="16"/>
        <v>Yes</v>
      </c>
    </row>
    <row r="891" spans="3:11" x14ac:dyDescent="0.3">
      <c r="C891">
        <v>867</v>
      </c>
      <c r="D891">
        <v>5311.58</v>
      </c>
      <c r="E891" t="s">
        <v>649</v>
      </c>
      <c r="F891">
        <v>4817.12</v>
      </c>
      <c r="G891" t="s">
        <v>649</v>
      </c>
      <c r="H891">
        <v>4467.6899999999996</v>
      </c>
      <c r="I891" t="s">
        <v>649</v>
      </c>
      <c r="K891" t="str">
        <f t="shared" si="16"/>
        <v>Yes</v>
      </c>
    </row>
    <row r="892" spans="3:11" x14ac:dyDescent="0.3">
      <c r="C892">
        <v>868</v>
      </c>
      <c r="D892">
        <v>7341.23</v>
      </c>
      <c r="E892" t="s">
        <v>649</v>
      </c>
      <c r="F892">
        <v>5250.51</v>
      </c>
      <c r="G892" t="s">
        <v>649</v>
      </c>
      <c r="H892">
        <v>4604.16</v>
      </c>
      <c r="I892" t="s">
        <v>649</v>
      </c>
      <c r="K892" t="str">
        <f t="shared" si="16"/>
        <v>Yes</v>
      </c>
    </row>
    <row r="893" spans="3:11" x14ac:dyDescent="0.3">
      <c r="C893">
        <v>869</v>
      </c>
      <c r="D893">
        <v>5003.04</v>
      </c>
      <c r="E893" t="s">
        <v>649</v>
      </c>
      <c r="F893">
        <v>5912.04</v>
      </c>
      <c r="G893" t="s">
        <v>649</v>
      </c>
      <c r="H893">
        <v>5522.9</v>
      </c>
      <c r="I893" t="s">
        <v>649</v>
      </c>
      <c r="K893" t="str">
        <f t="shared" si="16"/>
        <v>Yes</v>
      </c>
    </row>
    <row r="894" spans="3:11" x14ac:dyDescent="0.3">
      <c r="C894">
        <v>870</v>
      </c>
      <c r="D894">
        <v>4367.04</v>
      </c>
      <c r="E894" t="s">
        <v>649</v>
      </c>
      <c r="F894">
        <v>3163.91</v>
      </c>
      <c r="G894" t="s">
        <v>649</v>
      </c>
      <c r="H894">
        <v>4945.1000000000004</v>
      </c>
      <c r="I894" t="s">
        <v>649</v>
      </c>
      <c r="K894" t="str">
        <f t="shared" si="16"/>
        <v>Yes</v>
      </c>
    </row>
    <row r="895" spans="3:11" x14ac:dyDescent="0.3">
      <c r="C895">
        <v>871</v>
      </c>
      <c r="D895">
        <v>3530.54</v>
      </c>
      <c r="E895" t="s">
        <v>649</v>
      </c>
      <c r="F895">
        <v>6043.34</v>
      </c>
      <c r="G895" t="s">
        <v>649</v>
      </c>
      <c r="H895">
        <v>5147.24</v>
      </c>
      <c r="I895" t="s">
        <v>649</v>
      </c>
      <c r="K895" t="str">
        <f t="shared" si="16"/>
        <v>Yes</v>
      </c>
    </row>
    <row r="896" spans="3:11" x14ac:dyDescent="0.3">
      <c r="C896">
        <v>872</v>
      </c>
      <c r="D896">
        <v>3750.58</v>
      </c>
      <c r="E896" t="s">
        <v>649</v>
      </c>
      <c r="F896">
        <v>4599.76</v>
      </c>
      <c r="G896" t="s">
        <v>649</v>
      </c>
      <c r="H896">
        <v>5959.65</v>
      </c>
      <c r="I896" t="s">
        <v>649</v>
      </c>
      <c r="K896" t="str">
        <f t="shared" si="16"/>
        <v>Yes</v>
      </c>
    </row>
    <row r="897" spans="3:11" x14ac:dyDescent="0.3">
      <c r="C897">
        <v>873</v>
      </c>
      <c r="D897">
        <v>5053.1899999999996</v>
      </c>
      <c r="E897" t="s">
        <v>649</v>
      </c>
      <c r="F897">
        <v>4329.95</v>
      </c>
      <c r="G897" t="s">
        <v>649</v>
      </c>
      <c r="H897">
        <v>5164.66</v>
      </c>
      <c r="I897" t="s">
        <v>649</v>
      </c>
      <c r="K897" t="str">
        <f t="shared" si="16"/>
        <v>Yes</v>
      </c>
    </row>
    <row r="898" spans="3:11" x14ac:dyDescent="0.3">
      <c r="C898">
        <v>874</v>
      </c>
      <c r="D898">
        <v>5056.3999999999996</v>
      </c>
      <c r="E898" t="s">
        <v>649</v>
      </c>
      <c r="F898">
        <v>4333.88</v>
      </c>
      <c r="G898" t="s">
        <v>649</v>
      </c>
      <c r="H898">
        <v>6021.27</v>
      </c>
      <c r="I898" t="s">
        <v>649</v>
      </c>
      <c r="K898" t="str">
        <f t="shared" si="16"/>
        <v>Yes</v>
      </c>
    </row>
    <row r="899" spans="3:11" x14ac:dyDescent="0.3">
      <c r="C899">
        <v>875</v>
      </c>
      <c r="D899">
        <v>4831.93</v>
      </c>
      <c r="E899" t="s">
        <v>649</v>
      </c>
      <c r="F899">
        <v>4584.3999999999996</v>
      </c>
      <c r="G899" t="s">
        <v>649</v>
      </c>
      <c r="H899">
        <v>6991.88</v>
      </c>
      <c r="I899" t="s">
        <v>649</v>
      </c>
      <c r="K899" t="str">
        <f t="shared" si="16"/>
        <v>Yes</v>
      </c>
    </row>
    <row r="900" spans="3:11" x14ac:dyDescent="0.3">
      <c r="C900">
        <v>876</v>
      </c>
      <c r="D900">
        <v>3682.77</v>
      </c>
      <c r="E900" t="s">
        <v>649</v>
      </c>
      <c r="F900">
        <v>3743.42</v>
      </c>
      <c r="G900" t="s">
        <v>649</v>
      </c>
      <c r="H900">
        <v>3568.38</v>
      </c>
      <c r="I900" t="s">
        <v>649</v>
      </c>
      <c r="K900" t="str">
        <f t="shared" si="16"/>
        <v>Yes</v>
      </c>
    </row>
    <row r="901" spans="3:11" x14ac:dyDescent="0.3">
      <c r="C901">
        <v>877</v>
      </c>
      <c r="D901">
        <v>3456.68</v>
      </c>
      <c r="E901" t="s">
        <v>649</v>
      </c>
      <c r="F901">
        <v>4599.88</v>
      </c>
      <c r="G901" t="s">
        <v>649</v>
      </c>
      <c r="H901">
        <v>3530.94</v>
      </c>
      <c r="I901" t="s">
        <v>649</v>
      </c>
      <c r="K901" t="str">
        <f t="shared" si="16"/>
        <v>Yes</v>
      </c>
    </row>
    <row r="902" spans="3:11" x14ac:dyDescent="0.3">
      <c r="C902">
        <v>878</v>
      </c>
      <c r="D902">
        <v>3225.38</v>
      </c>
      <c r="E902" t="s">
        <v>649</v>
      </c>
      <c r="F902">
        <v>2869.4</v>
      </c>
      <c r="G902" t="s">
        <v>649</v>
      </c>
      <c r="H902">
        <v>4176.92</v>
      </c>
      <c r="I902" t="s">
        <v>649</v>
      </c>
      <c r="K902" t="str">
        <f t="shared" si="16"/>
        <v>Yes</v>
      </c>
    </row>
    <row r="903" spans="3:11" x14ac:dyDescent="0.3">
      <c r="C903">
        <v>879</v>
      </c>
      <c r="D903">
        <v>4067.21</v>
      </c>
      <c r="E903" t="s">
        <v>649</v>
      </c>
      <c r="F903">
        <v>1443.49</v>
      </c>
      <c r="G903" t="s">
        <v>649</v>
      </c>
      <c r="H903">
        <v>4748.51</v>
      </c>
      <c r="I903" t="s">
        <v>649</v>
      </c>
      <c r="K903" t="str">
        <f t="shared" si="16"/>
        <v>Yes</v>
      </c>
    </row>
    <row r="904" spans="3:11" x14ac:dyDescent="0.3">
      <c r="C904">
        <v>880</v>
      </c>
      <c r="D904">
        <v>2706.85</v>
      </c>
      <c r="E904" t="s">
        <v>649</v>
      </c>
      <c r="F904">
        <v>4151.1400000000003</v>
      </c>
      <c r="G904" t="s">
        <v>649</v>
      </c>
      <c r="H904">
        <v>3979.55</v>
      </c>
      <c r="I904" t="s">
        <v>649</v>
      </c>
      <c r="K904" t="str">
        <f t="shared" si="16"/>
        <v>Yes</v>
      </c>
    </row>
    <row r="905" spans="3:11" x14ac:dyDescent="0.3">
      <c r="C905">
        <v>881</v>
      </c>
      <c r="D905">
        <v>3227.48</v>
      </c>
      <c r="E905" t="s">
        <v>649</v>
      </c>
      <c r="F905">
        <v>4599.63</v>
      </c>
      <c r="G905" t="s">
        <v>649</v>
      </c>
      <c r="H905">
        <v>5230.3599999999997</v>
      </c>
      <c r="I905" t="s">
        <v>649</v>
      </c>
      <c r="K905" t="str">
        <f t="shared" si="16"/>
        <v>Yes</v>
      </c>
    </row>
    <row r="906" spans="3:11" x14ac:dyDescent="0.3">
      <c r="C906">
        <v>882</v>
      </c>
      <c r="D906">
        <v>3930.06</v>
      </c>
      <c r="E906" t="s">
        <v>649</v>
      </c>
      <c r="F906">
        <v>5175.7</v>
      </c>
      <c r="G906" t="s">
        <v>649</v>
      </c>
      <c r="H906">
        <v>3661</v>
      </c>
      <c r="I906" t="s">
        <v>649</v>
      </c>
      <c r="K906" t="str">
        <f t="shared" si="16"/>
        <v>Yes</v>
      </c>
    </row>
    <row r="907" spans="3:11" x14ac:dyDescent="0.3">
      <c r="C907">
        <v>883</v>
      </c>
      <c r="D907">
        <v>5680.78</v>
      </c>
      <c r="E907" t="s">
        <v>649</v>
      </c>
      <c r="F907">
        <v>5816.92</v>
      </c>
      <c r="G907" t="s">
        <v>649</v>
      </c>
      <c r="H907">
        <v>4261.37</v>
      </c>
      <c r="I907" t="s">
        <v>649</v>
      </c>
      <c r="K907" t="str">
        <f t="shared" si="16"/>
        <v>Yes</v>
      </c>
    </row>
    <row r="908" spans="3:11" x14ac:dyDescent="0.3">
      <c r="C908">
        <v>884</v>
      </c>
      <c r="D908">
        <v>6063.78</v>
      </c>
      <c r="E908" t="s">
        <v>649</v>
      </c>
      <c r="F908">
        <v>3034.34</v>
      </c>
      <c r="G908" t="s">
        <v>649</v>
      </c>
      <c r="H908">
        <v>4054.18</v>
      </c>
      <c r="I908" t="s">
        <v>649</v>
      </c>
      <c r="K908" t="str">
        <f t="shared" si="16"/>
        <v>Yes</v>
      </c>
    </row>
    <row r="909" spans="3:11" x14ac:dyDescent="0.3">
      <c r="C909">
        <v>885</v>
      </c>
      <c r="D909">
        <v>2611.6999999999998</v>
      </c>
      <c r="E909" t="s">
        <v>649</v>
      </c>
      <c r="F909">
        <v>4788.28</v>
      </c>
      <c r="G909" t="s">
        <v>649</v>
      </c>
      <c r="H909">
        <v>3301.31</v>
      </c>
      <c r="I909" t="s">
        <v>649</v>
      </c>
      <c r="K909" t="str">
        <f t="shared" si="16"/>
        <v>Yes</v>
      </c>
    </row>
    <row r="910" spans="3:11" x14ac:dyDescent="0.3">
      <c r="C910">
        <v>886</v>
      </c>
      <c r="D910">
        <v>6460.44</v>
      </c>
      <c r="E910" t="s">
        <v>649</v>
      </c>
      <c r="F910">
        <v>4427.9799999999996</v>
      </c>
      <c r="G910" t="s">
        <v>649</v>
      </c>
      <c r="H910">
        <v>5479.14</v>
      </c>
      <c r="I910" t="s">
        <v>649</v>
      </c>
      <c r="K910" t="str">
        <f t="shared" si="16"/>
        <v>Yes</v>
      </c>
    </row>
    <row r="911" spans="3:11" x14ac:dyDescent="0.3">
      <c r="C911">
        <v>887</v>
      </c>
      <c r="D911">
        <v>4019.82</v>
      </c>
      <c r="E911" t="s">
        <v>649</v>
      </c>
      <c r="F911">
        <v>4417.3900000000003</v>
      </c>
      <c r="G911" t="s">
        <v>649</v>
      </c>
      <c r="H911">
        <v>2925.25</v>
      </c>
      <c r="I911" t="s">
        <v>649</v>
      </c>
      <c r="K911" t="str">
        <f t="shared" si="16"/>
        <v>Yes</v>
      </c>
    </row>
    <row r="912" spans="3:11" x14ac:dyDescent="0.3">
      <c r="C912">
        <v>888</v>
      </c>
      <c r="D912">
        <v>4435.66</v>
      </c>
      <c r="E912" t="s">
        <v>649</v>
      </c>
      <c r="F912">
        <v>3770.95</v>
      </c>
      <c r="G912" t="s">
        <v>649</v>
      </c>
      <c r="H912">
        <v>2985.18</v>
      </c>
      <c r="I912" t="s">
        <v>649</v>
      </c>
      <c r="K912" t="str">
        <f t="shared" si="16"/>
        <v>Yes</v>
      </c>
    </row>
    <row r="913" spans="3:11" x14ac:dyDescent="0.3">
      <c r="C913">
        <v>889</v>
      </c>
      <c r="D913">
        <v>6000.26</v>
      </c>
      <c r="E913" t="s">
        <v>649</v>
      </c>
      <c r="F913">
        <v>4882.2700000000004</v>
      </c>
      <c r="G913" t="s">
        <v>649</v>
      </c>
      <c r="H913">
        <v>3139.16</v>
      </c>
      <c r="I913" t="s">
        <v>649</v>
      </c>
      <c r="K913" t="str">
        <f t="shared" si="16"/>
        <v>Yes</v>
      </c>
    </row>
    <row r="914" spans="3:11" x14ac:dyDescent="0.3">
      <c r="C914">
        <v>890</v>
      </c>
      <c r="D914">
        <v>4808.1499999999996</v>
      </c>
      <c r="E914" t="s">
        <v>649</v>
      </c>
      <c r="F914">
        <v>4400.88</v>
      </c>
      <c r="G914" t="s">
        <v>649</v>
      </c>
      <c r="H914">
        <v>3665.75</v>
      </c>
      <c r="I914" t="s">
        <v>649</v>
      </c>
      <c r="K914" t="str">
        <f t="shared" si="16"/>
        <v>Yes</v>
      </c>
    </row>
    <row r="915" spans="3:11" x14ac:dyDescent="0.3">
      <c r="C915">
        <v>891</v>
      </c>
      <c r="D915">
        <v>4727.18</v>
      </c>
      <c r="E915" t="s">
        <v>649</v>
      </c>
      <c r="F915">
        <v>5979.07</v>
      </c>
      <c r="G915" t="s">
        <v>649</v>
      </c>
      <c r="H915">
        <v>4673.8100000000004</v>
      </c>
      <c r="I915" t="s">
        <v>649</v>
      </c>
      <c r="K915" t="str">
        <f t="shared" si="16"/>
        <v>Yes</v>
      </c>
    </row>
    <row r="916" spans="3:11" x14ac:dyDescent="0.3">
      <c r="C916">
        <v>892</v>
      </c>
      <c r="D916">
        <v>6564.2</v>
      </c>
      <c r="E916" t="s">
        <v>649</v>
      </c>
      <c r="F916">
        <v>2765.02</v>
      </c>
      <c r="G916" t="s">
        <v>649</v>
      </c>
      <c r="H916">
        <v>4613.99</v>
      </c>
      <c r="I916" t="s">
        <v>649</v>
      </c>
      <c r="K916" t="str">
        <f t="shared" si="16"/>
        <v>Yes</v>
      </c>
    </row>
    <row r="917" spans="3:11" x14ac:dyDescent="0.3">
      <c r="C917">
        <v>893</v>
      </c>
      <c r="D917">
        <v>4485.16</v>
      </c>
      <c r="E917" t="s">
        <v>649</v>
      </c>
      <c r="F917">
        <v>3455.61</v>
      </c>
      <c r="G917" t="s">
        <v>649</v>
      </c>
      <c r="H917">
        <v>4204.17</v>
      </c>
      <c r="I917" t="s">
        <v>649</v>
      </c>
      <c r="K917" t="str">
        <f t="shared" si="16"/>
        <v>Yes</v>
      </c>
    </row>
    <row r="918" spans="3:11" x14ac:dyDescent="0.3">
      <c r="C918">
        <v>894</v>
      </c>
      <c r="D918">
        <v>5056.32</v>
      </c>
      <c r="E918" t="s">
        <v>649</v>
      </c>
      <c r="F918">
        <v>4607.42</v>
      </c>
      <c r="G918" t="s">
        <v>649</v>
      </c>
      <c r="H918">
        <v>4219.03</v>
      </c>
      <c r="I918" t="s">
        <v>649</v>
      </c>
      <c r="K918" t="str">
        <f t="shared" si="16"/>
        <v>Yes</v>
      </c>
    </row>
    <row r="919" spans="3:11" x14ac:dyDescent="0.3">
      <c r="C919">
        <v>895</v>
      </c>
      <c r="D919">
        <v>6080.87</v>
      </c>
      <c r="E919" t="s">
        <v>649</v>
      </c>
      <c r="F919">
        <v>6056.07</v>
      </c>
      <c r="G919" t="s">
        <v>649</v>
      </c>
      <c r="H919">
        <v>4848.82</v>
      </c>
      <c r="I919" t="s">
        <v>649</v>
      </c>
      <c r="K919" t="str">
        <f t="shared" si="16"/>
        <v>Yes</v>
      </c>
    </row>
    <row r="920" spans="3:11" x14ac:dyDescent="0.3">
      <c r="C920">
        <v>896</v>
      </c>
      <c r="D920">
        <v>3902.71</v>
      </c>
      <c r="E920" t="s">
        <v>649</v>
      </c>
      <c r="F920">
        <v>4280.8599999999997</v>
      </c>
      <c r="G920" t="s">
        <v>649</v>
      </c>
      <c r="H920">
        <v>5640.38</v>
      </c>
      <c r="I920" t="s">
        <v>649</v>
      </c>
      <c r="K920" t="str">
        <f t="shared" si="16"/>
        <v>Yes</v>
      </c>
    </row>
    <row r="921" spans="3:11" x14ac:dyDescent="0.3">
      <c r="C921">
        <v>897</v>
      </c>
      <c r="D921">
        <v>4065.52</v>
      </c>
      <c r="E921" t="s">
        <v>649</v>
      </c>
      <c r="F921">
        <v>5167.8599999999997</v>
      </c>
      <c r="G921" t="s">
        <v>649</v>
      </c>
      <c r="H921">
        <v>3506.53</v>
      </c>
      <c r="I921" t="s">
        <v>649</v>
      </c>
      <c r="K921" t="str">
        <f t="shared" ref="K921:K984" si="17">IF(AND(E921="No",G921="No",I921="No"),"No","Yes")</f>
        <v>Yes</v>
      </c>
    </row>
    <row r="922" spans="3:11" x14ac:dyDescent="0.3">
      <c r="C922">
        <v>898</v>
      </c>
      <c r="D922">
        <v>3057.18</v>
      </c>
      <c r="E922" t="s">
        <v>649</v>
      </c>
      <c r="F922">
        <v>3428.06</v>
      </c>
      <c r="G922" t="s">
        <v>649</v>
      </c>
      <c r="H922">
        <v>5958.57</v>
      </c>
      <c r="I922" t="s">
        <v>649</v>
      </c>
      <c r="K922" t="str">
        <f t="shared" si="17"/>
        <v>Yes</v>
      </c>
    </row>
    <row r="923" spans="3:11" x14ac:dyDescent="0.3">
      <c r="C923">
        <v>899</v>
      </c>
      <c r="D923">
        <v>5687.79</v>
      </c>
      <c r="E923" t="s">
        <v>649</v>
      </c>
      <c r="F923">
        <v>4712.8900000000003</v>
      </c>
      <c r="G923" t="s">
        <v>649</v>
      </c>
      <c r="H923">
        <v>3869.72</v>
      </c>
      <c r="I923" t="s">
        <v>649</v>
      </c>
      <c r="K923" t="str">
        <f t="shared" si="17"/>
        <v>Yes</v>
      </c>
    </row>
    <row r="924" spans="3:11" x14ac:dyDescent="0.3">
      <c r="C924">
        <v>900</v>
      </c>
      <c r="D924">
        <v>3920.92</v>
      </c>
      <c r="E924" t="s">
        <v>649</v>
      </c>
      <c r="F924">
        <v>3099.74</v>
      </c>
      <c r="G924" t="s">
        <v>649</v>
      </c>
      <c r="H924">
        <v>4282.5200000000004</v>
      </c>
      <c r="I924" t="s">
        <v>649</v>
      </c>
      <c r="K924" t="str">
        <f t="shared" si="17"/>
        <v>Yes</v>
      </c>
    </row>
    <row r="925" spans="3:11" x14ac:dyDescent="0.3">
      <c r="C925">
        <v>901</v>
      </c>
      <c r="D925">
        <v>5288.41</v>
      </c>
      <c r="E925" t="s">
        <v>650</v>
      </c>
      <c r="F925">
        <v>3881.9</v>
      </c>
      <c r="G925" t="s">
        <v>649</v>
      </c>
      <c r="H925">
        <v>4384.8500000000004</v>
      </c>
      <c r="I925" t="s">
        <v>649</v>
      </c>
      <c r="K925" t="str">
        <f t="shared" si="17"/>
        <v>Yes</v>
      </c>
    </row>
    <row r="926" spans="3:11" x14ac:dyDescent="0.3">
      <c r="C926">
        <v>902</v>
      </c>
      <c r="D926">
        <v>6383.44</v>
      </c>
      <c r="E926" t="s">
        <v>650</v>
      </c>
      <c r="F926">
        <v>5164.84</v>
      </c>
      <c r="G926" t="s">
        <v>649</v>
      </c>
      <c r="H926">
        <v>3929.69</v>
      </c>
      <c r="I926" t="s">
        <v>649</v>
      </c>
      <c r="K926" t="str">
        <f t="shared" si="17"/>
        <v>Yes</v>
      </c>
    </row>
    <row r="927" spans="3:11" x14ac:dyDescent="0.3">
      <c r="C927">
        <v>903</v>
      </c>
      <c r="D927">
        <v>6072.66</v>
      </c>
      <c r="E927" t="s">
        <v>650</v>
      </c>
      <c r="F927">
        <v>4038.88</v>
      </c>
      <c r="G927" t="s">
        <v>649</v>
      </c>
      <c r="H927">
        <v>5753.34</v>
      </c>
      <c r="I927" t="s">
        <v>649</v>
      </c>
      <c r="K927" t="str">
        <f t="shared" si="17"/>
        <v>Yes</v>
      </c>
    </row>
    <row r="928" spans="3:11" x14ac:dyDescent="0.3">
      <c r="C928">
        <v>904</v>
      </c>
      <c r="D928">
        <v>5592.53</v>
      </c>
      <c r="E928" t="s">
        <v>650</v>
      </c>
      <c r="F928">
        <v>4620.96</v>
      </c>
      <c r="G928" t="s">
        <v>649</v>
      </c>
      <c r="H928">
        <v>6039.92</v>
      </c>
      <c r="I928" t="s">
        <v>649</v>
      </c>
      <c r="K928" t="str">
        <f t="shared" si="17"/>
        <v>Yes</v>
      </c>
    </row>
    <row r="929" spans="3:11" x14ac:dyDescent="0.3">
      <c r="C929">
        <v>905</v>
      </c>
      <c r="D929">
        <v>2917.9</v>
      </c>
      <c r="E929" t="s">
        <v>650</v>
      </c>
      <c r="F929">
        <v>3567.29</v>
      </c>
      <c r="G929" t="s">
        <v>649</v>
      </c>
      <c r="H929">
        <v>6459.88</v>
      </c>
      <c r="I929" t="s">
        <v>649</v>
      </c>
      <c r="K929" t="str">
        <f t="shared" si="17"/>
        <v>Yes</v>
      </c>
    </row>
    <row r="930" spans="3:11" x14ac:dyDescent="0.3">
      <c r="C930">
        <v>906</v>
      </c>
      <c r="D930">
        <v>2742.53</v>
      </c>
      <c r="E930" t="s">
        <v>650</v>
      </c>
      <c r="F930">
        <v>4250.3100000000004</v>
      </c>
      <c r="G930" t="s">
        <v>649</v>
      </c>
      <c r="H930">
        <v>5765.97</v>
      </c>
      <c r="I930" t="s">
        <v>649</v>
      </c>
      <c r="K930" t="str">
        <f t="shared" si="17"/>
        <v>Yes</v>
      </c>
    </row>
    <row r="931" spans="3:11" x14ac:dyDescent="0.3">
      <c r="C931">
        <v>907</v>
      </c>
      <c r="D931">
        <v>4676.28</v>
      </c>
      <c r="E931" t="s">
        <v>650</v>
      </c>
      <c r="F931">
        <v>3988.68</v>
      </c>
      <c r="G931" t="s">
        <v>649</v>
      </c>
      <c r="H931">
        <v>3653.47</v>
      </c>
      <c r="I931" t="s">
        <v>649</v>
      </c>
      <c r="K931" t="str">
        <f t="shared" si="17"/>
        <v>Yes</v>
      </c>
    </row>
    <row r="932" spans="3:11" x14ac:dyDescent="0.3">
      <c r="C932">
        <v>908</v>
      </c>
      <c r="D932">
        <v>4703.8999999999996</v>
      </c>
      <c r="E932" t="s">
        <v>650</v>
      </c>
      <c r="F932">
        <v>6087.41</v>
      </c>
      <c r="G932" t="s">
        <v>649</v>
      </c>
      <c r="H932">
        <v>5268.45</v>
      </c>
      <c r="I932" t="s">
        <v>649</v>
      </c>
      <c r="K932" t="str">
        <f t="shared" si="17"/>
        <v>Yes</v>
      </c>
    </row>
    <row r="933" spans="3:11" x14ac:dyDescent="0.3">
      <c r="C933">
        <v>909</v>
      </c>
      <c r="D933">
        <v>6329.42</v>
      </c>
      <c r="E933" t="s">
        <v>650</v>
      </c>
      <c r="F933">
        <v>5193.54</v>
      </c>
      <c r="G933" t="s">
        <v>649</v>
      </c>
      <c r="H933">
        <v>3798.88</v>
      </c>
      <c r="I933" t="s">
        <v>649</v>
      </c>
      <c r="K933" t="str">
        <f t="shared" si="17"/>
        <v>Yes</v>
      </c>
    </row>
    <row r="934" spans="3:11" x14ac:dyDescent="0.3">
      <c r="C934">
        <v>910</v>
      </c>
      <c r="D934">
        <v>4210.6899999999996</v>
      </c>
      <c r="E934" t="s">
        <v>650</v>
      </c>
      <c r="F934">
        <v>2849.15</v>
      </c>
      <c r="G934" t="s">
        <v>649</v>
      </c>
      <c r="H934">
        <v>4611.6000000000004</v>
      </c>
      <c r="I934" t="s">
        <v>649</v>
      </c>
      <c r="K934" t="str">
        <f t="shared" si="17"/>
        <v>Yes</v>
      </c>
    </row>
    <row r="935" spans="3:11" x14ac:dyDescent="0.3">
      <c r="C935">
        <v>911</v>
      </c>
      <c r="D935">
        <v>5040.54</v>
      </c>
      <c r="E935" t="s">
        <v>650</v>
      </c>
      <c r="F935">
        <v>4522.25</v>
      </c>
      <c r="G935" t="s">
        <v>649</v>
      </c>
      <c r="H935">
        <v>5659.59</v>
      </c>
      <c r="I935" t="s">
        <v>649</v>
      </c>
      <c r="K935" t="str">
        <f t="shared" si="17"/>
        <v>Yes</v>
      </c>
    </row>
    <row r="936" spans="3:11" x14ac:dyDescent="0.3">
      <c r="C936">
        <v>912</v>
      </c>
      <c r="D936">
        <v>3155.45</v>
      </c>
      <c r="E936" t="s">
        <v>650</v>
      </c>
      <c r="F936">
        <v>5142.74</v>
      </c>
      <c r="G936" t="s">
        <v>649</v>
      </c>
      <c r="H936">
        <v>3340.92</v>
      </c>
      <c r="I936" t="s">
        <v>649</v>
      </c>
      <c r="K936" t="str">
        <f t="shared" si="17"/>
        <v>Yes</v>
      </c>
    </row>
    <row r="937" spans="3:11" x14ac:dyDescent="0.3">
      <c r="C937">
        <v>913</v>
      </c>
      <c r="D937">
        <v>4532.96</v>
      </c>
      <c r="E937" t="s">
        <v>650</v>
      </c>
      <c r="F937">
        <v>4615.4799999999996</v>
      </c>
      <c r="G937" t="s">
        <v>649</v>
      </c>
      <c r="H937">
        <v>3715.77</v>
      </c>
      <c r="I937" t="s">
        <v>649</v>
      </c>
      <c r="K937" t="str">
        <f t="shared" si="17"/>
        <v>Yes</v>
      </c>
    </row>
    <row r="938" spans="3:11" x14ac:dyDescent="0.3">
      <c r="C938">
        <v>914</v>
      </c>
      <c r="D938">
        <v>4280.84</v>
      </c>
      <c r="E938" t="s">
        <v>650</v>
      </c>
      <c r="F938">
        <v>4125.1499999999996</v>
      </c>
      <c r="G938" t="s">
        <v>649</v>
      </c>
      <c r="H938">
        <v>4444.7299999999996</v>
      </c>
      <c r="I938" t="s">
        <v>649</v>
      </c>
      <c r="K938" t="str">
        <f t="shared" si="17"/>
        <v>Yes</v>
      </c>
    </row>
    <row r="939" spans="3:11" x14ac:dyDescent="0.3">
      <c r="C939">
        <v>915</v>
      </c>
      <c r="D939">
        <v>3758.35</v>
      </c>
      <c r="E939" t="s">
        <v>650</v>
      </c>
      <c r="F939">
        <v>5009.04</v>
      </c>
      <c r="G939" t="s">
        <v>649</v>
      </c>
      <c r="H939">
        <v>4312.99</v>
      </c>
      <c r="I939" t="s">
        <v>649</v>
      </c>
      <c r="K939" t="str">
        <f t="shared" si="17"/>
        <v>Yes</v>
      </c>
    </row>
    <row r="940" spans="3:11" x14ac:dyDescent="0.3">
      <c r="C940">
        <v>916</v>
      </c>
      <c r="D940">
        <v>3923.67</v>
      </c>
      <c r="E940" t="s">
        <v>650</v>
      </c>
      <c r="F940">
        <v>5894.78</v>
      </c>
      <c r="G940" t="s">
        <v>649</v>
      </c>
      <c r="H940">
        <v>5547.89</v>
      </c>
      <c r="I940" t="s">
        <v>649</v>
      </c>
      <c r="K940" t="str">
        <f t="shared" si="17"/>
        <v>Yes</v>
      </c>
    </row>
    <row r="941" spans="3:11" x14ac:dyDescent="0.3">
      <c r="C941">
        <v>917</v>
      </c>
      <c r="D941">
        <v>5537.56</v>
      </c>
      <c r="E941" t="s">
        <v>650</v>
      </c>
      <c r="F941">
        <v>5271.06</v>
      </c>
      <c r="G941" t="s">
        <v>649</v>
      </c>
      <c r="H941">
        <v>4455.88</v>
      </c>
      <c r="I941" t="s">
        <v>649</v>
      </c>
      <c r="K941" t="str">
        <f t="shared" si="17"/>
        <v>Yes</v>
      </c>
    </row>
    <row r="942" spans="3:11" x14ac:dyDescent="0.3">
      <c r="C942">
        <v>918</v>
      </c>
      <c r="D942">
        <v>2847.06</v>
      </c>
      <c r="E942" t="s">
        <v>650</v>
      </c>
      <c r="F942">
        <v>4342.7</v>
      </c>
      <c r="G942" t="s">
        <v>649</v>
      </c>
      <c r="H942">
        <v>4223.05</v>
      </c>
      <c r="I942" t="s">
        <v>649</v>
      </c>
      <c r="K942" t="str">
        <f t="shared" si="17"/>
        <v>Yes</v>
      </c>
    </row>
    <row r="943" spans="3:11" x14ac:dyDescent="0.3">
      <c r="C943">
        <v>919</v>
      </c>
      <c r="D943">
        <v>4564.49</v>
      </c>
      <c r="E943" t="s">
        <v>650</v>
      </c>
      <c r="F943">
        <v>5888.72</v>
      </c>
      <c r="G943" t="s">
        <v>649</v>
      </c>
      <c r="H943">
        <v>3541.28</v>
      </c>
      <c r="I943" t="s">
        <v>649</v>
      </c>
      <c r="K943" t="str">
        <f t="shared" si="17"/>
        <v>Yes</v>
      </c>
    </row>
    <row r="944" spans="3:11" x14ac:dyDescent="0.3">
      <c r="C944">
        <v>920</v>
      </c>
      <c r="D944">
        <v>4155.76</v>
      </c>
      <c r="E944" t="s">
        <v>650</v>
      </c>
      <c r="F944">
        <v>3840.45</v>
      </c>
      <c r="G944" t="s">
        <v>649</v>
      </c>
      <c r="H944">
        <v>3649.36</v>
      </c>
      <c r="I944" t="s">
        <v>649</v>
      </c>
      <c r="K944" t="str">
        <f t="shared" si="17"/>
        <v>Yes</v>
      </c>
    </row>
    <row r="945" spans="3:11" x14ac:dyDescent="0.3">
      <c r="C945">
        <v>921</v>
      </c>
      <c r="D945">
        <v>3298.39</v>
      </c>
      <c r="E945" t="s">
        <v>650</v>
      </c>
      <c r="F945">
        <v>4312.3</v>
      </c>
      <c r="G945" t="s">
        <v>649</v>
      </c>
      <c r="H945">
        <v>3122.79</v>
      </c>
      <c r="I945" t="s">
        <v>649</v>
      </c>
      <c r="K945" t="str">
        <f t="shared" si="17"/>
        <v>Yes</v>
      </c>
    </row>
    <row r="946" spans="3:11" x14ac:dyDescent="0.3">
      <c r="C946">
        <v>922</v>
      </c>
      <c r="D946">
        <v>4697.28</v>
      </c>
      <c r="E946" t="s">
        <v>650</v>
      </c>
      <c r="F946">
        <v>4264</v>
      </c>
      <c r="G946" t="s">
        <v>649</v>
      </c>
      <c r="H946">
        <v>4158.5200000000004</v>
      </c>
      <c r="I946" t="s">
        <v>649</v>
      </c>
      <c r="K946" t="str">
        <f t="shared" si="17"/>
        <v>Yes</v>
      </c>
    </row>
    <row r="947" spans="3:11" x14ac:dyDescent="0.3">
      <c r="C947">
        <v>923</v>
      </c>
      <c r="D947">
        <v>2895.2</v>
      </c>
      <c r="E947" t="s">
        <v>650</v>
      </c>
      <c r="F947">
        <v>4775.84</v>
      </c>
      <c r="G947" t="s">
        <v>649</v>
      </c>
      <c r="H947">
        <v>2906.92</v>
      </c>
      <c r="I947" t="s">
        <v>649</v>
      </c>
      <c r="K947" t="str">
        <f t="shared" si="17"/>
        <v>Yes</v>
      </c>
    </row>
    <row r="948" spans="3:11" x14ac:dyDescent="0.3">
      <c r="C948">
        <v>924</v>
      </c>
      <c r="D948">
        <v>3540.11</v>
      </c>
      <c r="E948" t="s">
        <v>650</v>
      </c>
      <c r="F948">
        <v>4726.08</v>
      </c>
      <c r="G948" t="s">
        <v>649</v>
      </c>
      <c r="H948">
        <v>4589.21</v>
      </c>
      <c r="I948" t="s">
        <v>649</v>
      </c>
      <c r="K948" t="str">
        <f t="shared" si="17"/>
        <v>Yes</v>
      </c>
    </row>
    <row r="949" spans="3:11" x14ac:dyDescent="0.3">
      <c r="C949">
        <v>925</v>
      </c>
      <c r="D949">
        <v>3886.24</v>
      </c>
      <c r="E949" t="s">
        <v>650</v>
      </c>
      <c r="F949">
        <v>3659.9</v>
      </c>
      <c r="G949" t="s">
        <v>649</v>
      </c>
      <c r="H949">
        <v>4276.93</v>
      </c>
      <c r="I949" t="s">
        <v>649</v>
      </c>
      <c r="K949" t="str">
        <f t="shared" si="17"/>
        <v>Yes</v>
      </c>
    </row>
    <row r="950" spans="3:11" x14ac:dyDescent="0.3">
      <c r="C950">
        <v>926</v>
      </c>
      <c r="D950">
        <v>3436.92</v>
      </c>
      <c r="E950" t="s">
        <v>650</v>
      </c>
      <c r="F950">
        <v>2240.17</v>
      </c>
      <c r="G950" t="s">
        <v>649</v>
      </c>
      <c r="H950">
        <v>3436.02</v>
      </c>
      <c r="I950" t="s">
        <v>649</v>
      </c>
      <c r="K950" t="str">
        <f t="shared" si="17"/>
        <v>Yes</v>
      </c>
    </row>
    <row r="951" spans="3:11" x14ac:dyDescent="0.3">
      <c r="C951">
        <v>927</v>
      </c>
      <c r="D951">
        <v>4315.68</v>
      </c>
      <c r="E951" t="s">
        <v>650</v>
      </c>
      <c r="F951">
        <v>3449.74</v>
      </c>
      <c r="G951" t="s">
        <v>649</v>
      </c>
      <c r="H951">
        <v>3871.21</v>
      </c>
      <c r="I951" t="s">
        <v>649</v>
      </c>
      <c r="K951" t="str">
        <f t="shared" si="17"/>
        <v>Yes</v>
      </c>
    </row>
    <row r="952" spans="3:11" x14ac:dyDescent="0.3">
      <c r="C952">
        <v>928</v>
      </c>
      <c r="D952">
        <v>3722.84</v>
      </c>
      <c r="E952" t="s">
        <v>650</v>
      </c>
      <c r="F952">
        <v>3378.36</v>
      </c>
      <c r="G952" t="s">
        <v>649</v>
      </c>
      <c r="H952">
        <v>2559.79</v>
      </c>
      <c r="I952" t="s">
        <v>649</v>
      </c>
      <c r="K952" t="str">
        <f t="shared" si="17"/>
        <v>Yes</v>
      </c>
    </row>
    <row r="953" spans="3:11" x14ac:dyDescent="0.3">
      <c r="C953">
        <v>929</v>
      </c>
      <c r="D953">
        <v>4052.79</v>
      </c>
      <c r="E953" t="s">
        <v>650</v>
      </c>
      <c r="F953">
        <v>4342.09</v>
      </c>
      <c r="G953" t="s">
        <v>649</v>
      </c>
      <c r="H953">
        <v>3416.48</v>
      </c>
      <c r="I953" t="s">
        <v>649</v>
      </c>
      <c r="K953" t="str">
        <f t="shared" si="17"/>
        <v>Yes</v>
      </c>
    </row>
    <row r="954" spans="3:11" x14ac:dyDescent="0.3">
      <c r="C954">
        <v>930</v>
      </c>
      <c r="D954">
        <v>4306.88</v>
      </c>
      <c r="E954" t="s">
        <v>650</v>
      </c>
      <c r="F954">
        <v>3605.98</v>
      </c>
      <c r="G954" t="s">
        <v>649</v>
      </c>
      <c r="H954">
        <v>4973.57</v>
      </c>
      <c r="I954" t="s">
        <v>649</v>
      </c>
      <c r="K954" t="str">
        <f t="shared" si="17"/>
        <v>Yes</v>
      </c>
    </row>
    <row r="955" spans="3:11" x14ac:dyDescent="0.3">
      <c r="C955">
        <v>931</v>
      </c>
      <c r="D955">
        <v>2885.07</v>
      </c>
      <c r="E955" t="s">
        <v>650</v>
      </c>
      <c r="F955">
        <v>3414.42</v>
      </c>
      <c r="G955" t="s">
        <v>649</v>
      </c>
      <c r="H955">
        <v>4609.7700000000004</v>
      </c>
      <c r="I955" t="s">
        <v>649</v>
      </c>
      <c r="K955" t="str">
        <f t="shared" si="17"/>
        <v>Yes</v>
      </c>
    </row>
    <row r="956" spans="3:11" x14ac:dyDescent="0.3">
      <c r="C956">
        <v>932</v>
      </c>
      <c r="D956">
        <v>4254.22</v>
      </c>
      <c r="E956" t="s">
        <v>650</v>
      </c>
      <c r="F956">
        <v>3612.96</v>
      </c>
      <c r="G956" t="s">
        <v>649</v>
      </c>
      <c r="H956">
        <v>3949.94</v>
      </c>
      <c r="I956" t="s">
        <v>649</v>
      </c>
      <c r="K956" t="str">
        <f t="shared" si="17"/>
        <v>Yes</v>
      </c>
    </row>
    <row r="957" spans="3:11" x14ac:dyDescent="0.3">
      <c r="C957">
        <v>933</v>
      </c>
      <c r="D957">
        <v>4552.2</v>
      </c>
      <c r="E957" t="s">
        <v>650</v>
      </c>
      <c r="F957">
        <v>3626.41</v>
      </c>
      <c r="G957" t="s">
        <v>649</v>
      </c>
      <c r="H957">
        <v>4899.1400000000003</v>
      </c>
      <c r="I957" t="s">
        <v>649</v>
      </c>
      <c r="K957" t="str">
        <f t="shared" si="17"/>
        <v>Yes</v>
      </c>
    </row>
    <row r="958" spans="3:11" x14ac:dyDescent="0.3">
      <c r="C958">
        <v>934</v>
      </c>
      <c r="D958">
        <v>3360.59</v>
      </c>
      <c r="E958" t="s">
        <v>650</v>
      </c>
      <c r="F958">
        <v>3846.8</v>
      </c>
      <c r="G958" t="s">
        <v>649</v>
      </c>
      <c r="H958">
        <v>4211.24</v>
      </c>
      <c r="I958" t="s">
        <v>649</v>
      </c>
      <c r="K958" t="str">
        <f t="shared" si="17"/>
        <v>Yes</v>
      </c>
    </row>
    <row r="959" spans="3:11" x14ac:dyDescent="0.3">
      <c r="C959">
        <v>935</v>
      </c>
      <c r="D959">
        <v>3057</v>
      </c>
      <c r="E959" t="s">
        <v>650</v>
      </c>
      <c r="F959">
        <v>2944.06</v>
      </c>
      <c r="G959" t="s">
        <v>649</v>
      </c>
      <c r="H959">
        <v>4648.7700000000004</v>
      </c>
      <c r="I959" t="s">
        <v>649</v>
      </c>
      <c r="K959" t="str">
        <f t="shared" si="17"/>
        <v>Yes</v>
      </c>
    </row>
    <row r="960" spans="3:11" x14ac:dyDescent="0.3">
      <c r="C960">
        <v>936</v>
      </c>
      <c r="D960">
        <v>4923.51</v>
      </c>
      <c r="E960" t="s">
        <v>650</v>
      </c>
      <c r="F960">
        <v>4362.41</v>
      </c>
      <c r="G960" t="s">
        <v>649</v>
      </c>
      <c r="H960">
        <v>3720.38</v>
      </c>
      <c r="I960" t="s">
        <v>649</v>
      </c>
      <c r="K960" t="str">
        <f t="shared" si="17"/>
        <v>Yes</v>
      </c>
    </row>
    <row r="961" spans="3:11" x14ac:dyDescent="0.3">
      <c r="C961">
        <v>937</v>
      </c>
      <c r="D961">
        <v>3575.37</v>
      </c>
      <c r="E961" t="s">
        <v>650</v>
      </c>
      <c r="F961">
        <v>3816.59</v>
      </c>
      <c r="G961" t="s">
        <v>649</v>
      </c>
      <c r="H961">
        <v>3896.11</v>
      </c>
      <c r="I961" t="s">
        <v>649</v>
      </c>
      <c r="K961" t="str">
        <f t="shared" si="17"/>
        <v>Yes</v>
      </c>
    </row>
    <row r="962" spans="3:11" x14ac:dyDescent="0.3">
      <c r="C962">
        <v>938</v>
      </c>
      <c r="D962">
        <v>4313.83</v>
      </c>
      <c r="E962" t="s">
        <v>650</v>
      </c>
      <c r="F962">
        <v>3431.81</v>
      </c>
      <c r="G962" t="s">
        <v>649</v>
      </c>
      <c r="H962">
        <v>5402.14</v>
      </c>
      <c r="I962" t="s">
        <v>649</v>
      </c>
      <c r="K962" t="str">
        <f t="shared" si="17"/>
        <v>Yes</v>
      </c>
    </row>
    <row r="963" spans="3:11" x14ac:dyDescent="0.3">
      <c r="C963">
        <v>939</v>
      </c>
      <c r="D963">
        <v>3905.06</v>
      </c>
      <c r="E963" t="s">
        <v>650</v>
      </c>
      <c r="F963">
        <v>4325.3500000000004</v>
      </c>
      <c r="G963" t="s">
        <v>649</v>
      </c>
      <c r="H963">
        <v>4984.6000000000004</v>
      </c>
      <c r="I963" t="s">
        <v>649</v>
      </c>
      <c r="K963" t="str">
        <f t="shared" si="17"/>
        <v>Yes</v>
      </c>
    </row>
    <row r="964" spans="3:11" x14ac:dyDescent="0.3">
      <c r="C964">
        <v>940</v>
      </c>
      <c r="D964">
        <v>3355.55</v>
      </c>
      <c r="E964" t="s">
        <v>650</v>
      </c>
      <c r="F964">
        <v>3723.98</v>
      </c>
      <c r="G964" t="s">
        <v>649</v>
      </c>
      <c r="H964">
        <v>5237.0600000000004</v>
      </c>
      <c r="I964" t="s">
        <v>649</v>
      </c>
      <c r="K964" t="str">
        <f t="shared" si="17"/>
        <v>Yes</v>
      </c>
    </row>
    <row r="965" spans="3:11" x14ac:dyDescent="0.3">
      <c r="C965">
        <v>941</v>
      </c>
      <c r="D965">
        <v>2812.99</v>
      </c>
      <c r="E965" t="s">
        <v>650</v>
      </c>
      <c r="F965">
        <v>2550.81</v>
      </c>
      <c r="G965" t="s">
        <v>649</v>
      </c>
      <c r="H965">
        <v>6249.09</v>
      </c>
      <c r="I965" t="s">
        <v>649</v>
      </c>
      <c r="K965" t="str">
        <f t="shared" si="17"/>
        <v>Yes</v>
      </c>
    </row>
    <row r="966" spans="3:11" x14ac:dyDescent="0.3">
      <c r="C966">
        <v>942</v>
      </c>
      <c r="D966">
        <v>3598.49</v>
      </c>
      <c r="E966" t="s">
        <v>650</v>
      </c>
      <c r="F966">
        <v>4238.3599999999997</v>
      </c>
      <c r="G966" t="s">
        <v>649</v>
      </c>
      <c r="H966">
        <v>4461.7</v>
      </c>
      <c r="I966" t="s">
        <v>649</v>
      </c>
      <c r="K966" t="str">
        <f t="shared" si="17"/>
        <v>Yes</v>
      </c>
    </row>
    <row r="967" spans="3:11" x14ac:dyDescent="0.3">
      <c r="C967">
        <v>943</v>
      </c>
      <c r="D967">
        <v>4521.51</v>
      </c>
      <c r="E967" t="s">
        <v>650</v>
      </c>
      <c r="F967">
        <v>3785.75</v>
      </c>
      <c r="G967" t="s">
        <v>649</v>
      </c>
      <c r="H967">
        <v>5758</v>
      </c>
      <c r="I967" t="s">
        <v>649</v>
      </c>
      <c r="K967" t="str">
        <f t="shared" si="17"/>
        <v>Yes</v>
      </c>
    </row>
    <row r="968" spans="3:11" x14ac:dyDescent="0.3">
      <c r="C968">
        <v>944</v>
      </c>
      <c r="D968">
        <v>4790.8</v>
      </c>
      <c r="E968" t="s">
        <v>650</v>
      </c>
      <c r="F968">
        <v>4135.4399999999996</v>
      </c>
      <c r="G968" t="s">
        <v>649</v>
      </c>
      <c r="H968">
        <v>2679.14</v>
      </c>
      <c r="I968" t="s">
        <v>649</v>
      </c>
      <c r="K968" t="str">
        <f t="shared" si="17"/>
        <v>Yes</v>
      </c>
    </row>
    <row r="969" spans="3:11" x14ac:dyDescent="0.3">
      <c r="C969">
        <v>945</v>
      </c>
      <c r="D969">
        <v>4109.4399999999996</v>
      </c>
      <c r="E969" t="s">
        <v>650</v>
      </c>
      <c r="F969">
        <v>3794.65</v>
      </c>
      <c r="G969" t="s">
        <v>649</v>
      </c>
      <c r="H969">
        <v>4137.67</v>
      </c>
      <c r="I969" t="s">
        <v>649</v>
      </c>
      <c r="K969" t="str">
        <f t="shared" si="17"/>
        <v>Yes</v>
      </c>
    </row>
    <row r="970" spans="3:11" x14ac:dyDescent="0.3">
      <c r="C970">
        <v>946</v>
      </c>
      <c r="D970">
        <v>3162.36</v>
      </c>
      <c r="E970" t="s">
        <v>650</v>
      </c>
      <c r="F970">
        <v>3988.65</v>
      </c>
      <c r="G970" t="s">
        <v>649</v>
      </c>
      <c r="H970">
        <v>3470.07</v>
      </c>
      <c r="I970" t="s">
        <v>649</v>
      </c>
      <c r="K970" t="str">
        <f t="shared" si="17"/>
        <v>Yes</v>
      </c>
    </row>
    <row r="971" spans="3:11" x14ac:dyDescent="0.3">
      <c r="C971">
        <v>947</v>
      </c>
      <c r="D971">
        <v>3242.18</v>
      </c>
      <c r="E971" t="s">
        <v>650</v>
      </c>
      <c r="F971">
        <v>4329.21</v>
      </c>
      <c r="G971" t="s">
        <v>649</v>
      </c>
      <c r="H971">
        <v>5018.1499999999996</v>
      </c>
      <c r="I971" t="s">
        <v>649</v>
      </c>
      <c r="K971" t="str">
        <f t="shared" si="17"/>
        <v>Yes</v>
      </c>
    </row>
    <row r="972" spans="3:11" x14ac:dyDescent="0.3">
      <c r="C972">
        <v>948</v>
      </c>
      <c r="D972">
        <v>3657.86</v>
      </c>
      <c r="E972" t="s">
        <v>650</v>
      </c>
      <c r="F972">
        <v>3793.5</v>
      </c>
      <c r="G972" t="s">
        <v>649</v>
      </c>
      <c r="H972">
        <v>4368.16</v>
      </c>
      <c r="I972" t="s">
        <v>649</v>
      </c>
      <c r="K972" t="str">
        <f t="shared" si="17"/>
        <v>Yes</v>
      </c>
    </row>
    <row r="973" spans="3:11" x14ac:dyDescent="0.3">
      <c r="C973">
        <v>949</v>
      </c>
      <c r="D973">
        <v>3560.72</v>
      </c>
      <c r="E973" t="s">
        <v>650</v>
      </c>
      <c r="F973">
        <v>4266.5</v>
      </c>
      <c r="G973" t="s">
        <v>649</v>
      </c>
      <c r="H973">
        <v>5019.24</v>
      </c>
      <c r="I973" t="s">
        <v>649</v>
      </c>
      <c r="K973" t="str">
        <f t="shared" si="17"/>
        <v>Yes</v>
      </c>
    </row>
    <row r="974" spans="3:11" x14ac:dyDescent="0.3">
      <c r="C974">
        <v>950</v>
      </c>
      <c r="D974">
        <v>3546.62</v>
      </c>
      <c r="E974" t="s">
        <v>650</v>
      </c>
      <c r="F974">
        <v>2809.97</v>
      </c>
      <c r="G974" t="s">
        <v>649</v>
      </c>
      <c r="H974">
        <v>4765.42</v>
      </c>
      <c r="I974" t="s">
        <v>649</v>
      </c>
      <c r="K974" t="str">
        <f t="shared" si="17"/>
        <v>Yes</v>
      </c>
    </row>
    <row r="975" spans="3:11" x14ac:dyDescent="0.3">
      <c r="C975">
        <v>951</v>
      </c>
      <c r="D975">
        <v>5063.71</v>
      </c>
      <c r="E975" t="s">
        <v>650</v>
      </c>
      <c r="F975">
        <v>3485.5</v>
      </c>
      <c r="G975" t="s">
        <v>650</v>
      </c>
      <c r="H975">
        <v>5734.06</v>
      </c>
      <c r="I975" t="s">
        <v>649</v>
      </c>
      <c r="K975" t="str">
        <f t="shared" si="17"/>
        <v>Yes</v>
      </c>
    </row>
    <row r="976" spans="3:11" x14ac:dyDescent="0.3">
      <c r="C976">
        <v>952</v>
      </c>
      <c r="D976">
        <v>1268.3</v>
      </c>
      <c r="E976" t="s">
        <v>650</v>
      </c>
      <c r="F976">
        <v>5501.94</v>
      </c>
      <c r="G976" t="s">
        <v>650</v>
      </c>
      <c r="H976">
        <v>6715.78</v>
      </c>
      <c r="I976" t="s">
        <v>649</v>
      </c>
      <c r="K976" t="str">
        <f t="shared" si="17"/>
        <v>Yes</v>
      </c>
    </row>
    <row r="977" spans="3:11" x14ac:dyDescent="0.3">
      <c r="C977">
        <v>953</v>
      </c>
      <c r="D977">
        <v>4240.78</v>
      </c>
      <c r="E977" t="s">
        <v>650</v>
      </c>
      <c r="F977">
        <v>5728.03</v>
      </c>
      <c r="G977" t="s">
        <v>650</v>
      </c>
      <c r="H977">
        <v>6411.01</v>
      </c>
      <c r="I977" t="s">
        <v>649</v>
      </c>
      <c r="K977" t="str">
        <f t="shared" si="17"/>
        <v>Yes</v>
      </c>
    </row>
    <row r="978" spans="3:11" x14ac:dyDescent="0.3">
      <c r="C978">
        <v>954</v>
      </c>
      <c r="D978">
        <v>3913.71</v>
      </c>
      <c r="E978" t="s">
        <v>650</v>
      </c>
      <c r="F978">
        <v>7718.86</v>
      </c>
      <c r="G978" t="s">
        <v>650</v>
      </c>
      <c r="H978">
        <v>6865.89</v>
      </c>
      <c r="I978" t="s">
        <v>649</v>
      </c>
      <c r="K978" t="str">
        <f t="shared" si="17"/>
        <v>Yes</v>
      </c>
    </row>
    <row r="979" spans="3:11" x14ac:dyDescent="0.3">
      <c r="C979">
        <v>955</v>
      </c>
      <c r="D979">
        <v>4521.4799999999996</v>
      </c>
      <c r="E979" t="s">
        <v>650</v>
      </c>
      <c r="F979">
        <v>4701.1400000000003</v>
      </c>
      <c r="G979" t="s">
        <v>650</v>
      </c>
      <c r="H979">
        <v>7120.23</v>
      </c>
      <c r="I979" t="s">
        <v>649</v>
      </c>
      <c r="K979" t="str">
        <f t="shared" si="17"/>
        <v>Yes</v>
      </c>
    </row>
    <row r="980" spans="3:11" x14ac:dyDescent="0.3">
      <c r="C980">
        <v>956</v>
      </c>
      <c r="D980">
        <v>3708.27</v>
      </c>
      <c r="E980" t="s">
        <v>650</v>
      </c>
      <c r="F980">
        <v>6200.21</v>
      </c>
      <c r="G980" t="s">
        <v>650</v>
      </c>
      <c r="H980">
        <v>5945.66</v>
      </c>
      <c r="I980" t="s">
        <v>649</v>
      </c>
      <c r="K980" t="str">
        <f t="shared" si="17"/>
        <v>Yes</v>
      </c>
    </row>
    <row r="981" spans="3:11" x14ac:dyDescent="0.3">
      <c r="C981">
        <v>957</v>
      </c>
      <c r="D981">
        <v>6345.69</v>
      </c>
      <c r="E981" t="s">
        <v>650</v>
      </c>
      <c r="F981">
        <v>4792.3599999999997</v>
      </c>
      <c r="G981" t="s">
        <v>650</v>
      </c>
      <c r="H981">
        <v>6795.82</v>
      </c>
      <c r="I981" t="s">
        <v>649</v>
      </c>
      <c r="K981" t="str">
        <f t="shared" si="17"/>
        <v>Yes</v>
      </c>
    </row>
    <row r="982" spans="3:11" x14ac:dyDescent="0.3">
      <c r="C982">
        <v>958</v>
      </c>
      <c r="D982">
        <v>6526.84</v>
      </c>
      <c r="E982" t="s">
        <v>650</v>
      </c>
      <c r="F982">
        <v>6427.95</v>
      </c>
      <c r="G982" t="s">
        <v>650</v>
      </c>
      <c r="H982">
        <v>7483.67</v>
      </c>
      <c r="I982" t="s">
        <v>649</v>
      </c>
      <c r="K982" t="str">
        <f t="shared" si="17"/>
        <v>Yes</v>
      </c>
    </row>
    <row r="983" spans="3:11" x14ac:dyDescent="0.3">
      <c r="C983">
        <v>959</v>
      </c>
      <c r="D983">
        <v>4993.57</v>
      </c>
      <c r="E983" t="s">
        <v>650</v>
      </c>
      <c r="F983">
        <v>3426.01</v>
      </c>
      <c r="G983" t="s">
        <v>650</v>
      </c>
      <c r="H983">
        <v>4667.82</v>
      </c>
      <c r="I983" t="s">
        <v>649</v>
      </c>
      <c r="K983" t="str">
        <f t="shared" si="17"/>
        <v>Yes</v>
      </c>
    </row>
    <row r="984" spans="3:11" x14ac:dyDescent="0.3">
      <c r="C984">
        <v>960</v>
      </c>
      <c r="D984">
        <v>6222.01</v>
      </c>
      <c r="E984" t="s">
        <v>650</v>
      </c>
      <c r="F984">
        <v>5629.02</v>
      </c>
      <c r="G984" t="s">
        <v>650</v>
      </c>
      <c r="H984">
        <v>6392.11</v>
      </c>
      <c r="I984" t="s">
        <v>649</v>
      </c>
      <c r="K984" t="str">
        <f t="shared" si="17"/>
        <v>Yes</v>
      </c>
    </row>
    <row r="985" spans="3:11" x14ac:dyDescent="0.3">
      <c r="C985">
        <v>961</v>
      </c>
      <c r="D985">
        <v>5512.71</v>
      </c>
      <c r="E985" t="s">
        <v>650</v>
      </c>
      <c r="F985">
        <v>3358.68</v>
      </c>
      <c r="G985" t="s">
        <v>650</v>
      </c>
      <c r="H985">
        <v>5163.71</v>
      </c>
      <c r="I985" t="s">
        <v>649</v>
      </c>
      <c r="K985" t="str">
        <f t="shared" ref="K985:K1024" si="18">IF(AND(E985="No",G985="No",I985="No"),"No","Yes")</f>
        <v>Yes</v>
      </c>
    </row>
    <row r="986" spans="3:11" x14ac:dyDescent="0.3">
      <c r="C986">
        <v>962</v>
      </c>
      <c r="D986">
        <v>5173.25</v>
      </c>
      <c r="E986" t="s">
        <v>650</v>
      </c>
      <c r="F986">
        <v>5522.89</v>
      </c>
      <c r="G986" t="s">
        <v>650</v>
      </c>
      <c r="H986">
        <v>6473.31</v>
      </c>
      <c r="I986" t="s">
        <v>649</v>
      </c>
      <c r="K986" t="str">
        <f t="shared" si="18"/>
        <v>Yes</v>
      </c>
    </row>
    <row r="987" spans="3:11" x14ac:dyDescent="0.3">
      <c r="C987">
        <v>963</v>
      </c>
      <c r="D987">
        <v>4286.91</v>
      </c>
      <c r="E987" t="s">
        <v>650</v>
      </c>
      <c r="F987">
        <v>6258.17</v>
      </c>
      <c r="G987" t="s">
        <v>650</v>
      </c>
      <c r="H987">
        <v>6565.09</v>
      </c>
      <c r="I987" t="s">
        <v>649</v>
      </c>
      <c r="K987" t="str">
        <f t="shared" si="18"/>
        <v>Yes</v>
      </c>
    </row>
    <row r="988" spans="3:11" x14ac:dyDescent="0.3">
      <c r="C988">
        <v>964</v>
      </c>
      <c r="D988">
        <v>6147.95</v>
      </c>
      <c r="E988" t="s">
        <v>650</v>
      </c>
      <c r="F988">
        <v>5852.94</v>
      </c>
      <c r="G988" t="s">
        <v>650</v>
      </c>
      <c r="H988">
        <v>4110.49</v>
      </c>
      <c r="I988" t="s">
        <v>649</v>
      </c>
      <c r="K988" t="str">
        <f t="shared" si="18"/>
        <v>Yes</v>
      </c>
    </row>
    <row r="989" spans="3:11" x14ac:dyDescent="0.3">
      <c r="C989">
        <v>965</v>
      </c>
      <c r="D989">
        <v>3249.16</v>
      </c>
      <c r="E989" t="s">
        <v>650</v>
      </c>
      <c r="F989">
        <v>6332.23</v>
      </c>
      <c r="G989" t="s">
        <v>650</v>
      </c>
      <c r="H989">
        <v>4832.24</v>
      </c>
      <c r="I989" t="s">
        <v>649</v>
      </c>
      <c r="K989" t="str">
        <f t="shared" si="18"/>
        <v>Yes</v>
      </c>
    </row>
    <row r="990" spans="3:11" x14ac:dyDescent="0.3">
      <c r="C990">
        <v>966</v>
      </c>
      <c r="D990">
        <v>4625.21</v>
      </c>
      <c r="E990" t="s">
        <v>650</v>
      </c>
      <c r="F990">
        <v>5265.38</v>
      </c>
      <c r="G990" t="s">
        <v>650</v>
      </c>
      <c r="H990">
        <v>7139.07</v>
      </c>
      <c r="I990" t="s">
        <v>649</v>
      </c>
      <c r="K990" t="str">
        <f t="shared" si="18"/>
        <v>Yes</v>
      </c>
    </row>
    <row r="991" spans="3:11" x14ac:dyDescent="0.3">
      <c r="C991">
        <v>967</v>
      </c>
      <c r="D991">
        <v>2786.68</v>
      </c>
      <c r="E991" t="s">
        <v>650</v>
      </c>
      <c r="F991">
        <v>4177.1499999999996</v>
      </c>
      <c r="G991" t="s">
        <v>650</v>
      </c>
      <c r="H991">
        <v>6176.46</v>
      </c>
      <c r="I991" t="s">
        <v>649</v>
      </c>
      <c r="K991" t="str">
        <f t="shared" si="18"/>
        <v>Yes</v>
      </c>
    </row>
    <row r="992" spans="3:11" x14ac:dyDescent="0.3">
      <c r="C992">
        <v>968</v>
      </c>
      <c r="D992">
        <v>3197.07</v>
      </c>
      <c r="E992" t="s">
        <v>650</v>
      </c>
      <c r="F992">
        <v>6158.25</v>
      </c>
      <c r="G992" t="s">
        <v>650</v>
      </c>
      <c r="H992">
        <v>7559.53</v>
      </c>
      <c r="I992" t="s">
        <v>649</v>
      </c>
      <c r="K992" t="str">
        <f t="shared" si="18"/>
        <v>Yes</v>
      </c>
    </row>
    <row r="993" spans="3:11" x14ac:dyDescent="0.3">
      <c r="C993">
        <v>969</v>
      </c>
      <c r="D993">
        <v>4685.93</v>
      </c>
      <c r="E993" t="s">
        <v>650</v>
      </c>
      <c r="F993">
        <v>3971.38</v>
      </c>
      <c r="G993" t="s">
        <v>650</v>
      </c>
      <c r="H993">
        <v>6190.76</v>
      </c>
      <c r="I993" t="s">
        <v>649</v>
      </c>
      <c r="K993" t="str">
        <f t="shared" si="18"/>
        <v>Yes</v>
      </c>
    </row>
    <row r="994" spans="3:11" x14ac:dyDescent="0.3">
      <c r="C994">
        <v>970</v>
      </c>
      <c r="D994">
        <v>5719.08</v>
      </c>
      <c r="E994" t="s">
        <v>650</v>
      </c>
      <c r="F994">
        <v>5874.06</v>
      </c>
      <c r="G994" t="s">
        <v>650</v>
      </c>
      <c r="H994">
        <v>6991.4</v>
      </c>
      <c r="I994" t="s">
        <v>649</v>
      </c>
      <c r="K994" t="str">
        <f t="shared" si="18"/>
        <v>Yes</v>
      </c>
    </row>
    <row r="995" spans="3:11" x14ac:dyDescent="0.3">
      <c r="C995">
        <v>971</v>
      </c>
      <c r="D995">
        <v>3626.17</v>
      </c>
      <c r="E995" t="s">
        <v>650</v>
      </c>
      <c r="F995">
        <v>4005.26</v>
      </c>
      <c r="G995" t="s">
        <v>650</v>
      </c>
      <c r="H995">
        <v>5111.04</v>
      </c>
      <c r="I995" t="s">
        <v>649</v>
      </c>
      <c r="K995" t="str">
        <f t="shared" si="18"/>
        <v>Yes</v>
      </c>
    </row>
    <row r="996" spans="3:11" x14ac:dyDescent="0.3">
      <c r="C996">
        <v>972</v>
      </c>
      <c r="D996">
        <v>3677.48</v>
      </c>
      <c r="E996" t="s">
        <v>650</v>
      </c>
      <c r="F996">
        <v>4426.78</v>
      </c>
      <c r="G996" t="s">
        <v>650</v>
      </c>
      <c r="H996">
        <v>5955.84</v>
      </c>
      <c r="I996" t="s">
        <v>649</v>
      </c>
      <c r="K996" t="str">
        <f t="shared" si="18"/>
        <v>Yes</v>
      </c>
    </row>
    <row r="997" spans="3:11" x14ac:dyDescent="0.3">
      <c r="C997">
        <v>973</v>
      </c>
      <c r="D997">
        <v>4450.82</v>
      </c>
      <c r="E997" t="s">
        <v>650</v>
      </c>
      <c r="F997">
        <v>6694.22</v>
      </c>
      <c r="G997" t="s">
        <v>650</v>
      </c>
      <c r="H997">
        <v>5645.28</v>
      </c>
      <c r="I997" t="s">
        <v>649</v>
      </c>
      <c r="K997" t="str">
        <f t="shared" si="18"/>
        <v>Yes</v>
      </c>
    </row>
    <row r="998" spans="3:11" x14ac:dyDescent="0.3">
      <c r="C998">
        <v>974</v>
      </c>
      <c r="D998">
        <v>6495.27</v>
      </c>
      <c r="E998" t="s">
        <v>650</v>
      </c>
      <c r="F998">
        <v>5984.59</v>
      </c>
      <c r="G998" t="s">
        <v>650</v>
      </c>
      <c r="H998">
        <v>5221.3900000000003</v>
      </c>
      <c r="I998" t="s">
        <v>649</v>
      </c>
      <c r="K998" t="str">
        <f t="shared" si="18"/>
        <v>Yes</v>
      </c>
    </row>
    <row r="999" spans="3:11" x14ac:dyDescent="0.3">
      <c r="C999">
        <v>975</v>
      </c>
      <c r="D999">
        <v>3712</v>
      </c>
      <c r="E999" t="s">
        <v>650</v>
      </c>
      <c r="F999">
        <v>6098.59</v>
      </c>
      <c r="G999" t="s">
        <v>650</v>
      </c>
      <c r="H999">
        <v>5693.25</v>
      </c>
      <c r="I999" t="s">
        <v>649</v>
      </c>
      <c r="K999" t="str">
        <f t="shared" si="18"/>
        <v>Yes</v>
      </c>
    </row>
    <row r="1000" spans="3:11" x14ac:dyDescent="0.3">
      <c r="C1000">
        <v>976</v>
      </c>
      <c r="D1000">
        <v>5973.51</v>
      </c>
      <c r="E1000" t="s">
        <v>650</v>
      </c>
      <c r="F1000">
        <v>5547.88</v>
      </c>
      <c r="G1000" t="s">
        <v>650</v>
      </c>
      <c r="H1000">
        <v>5903.52</v>
      </c>
      <c r="I1000" t="s">
        <v>649</v>
      </c>
      <c r="K1000" t="str">
        <f t="shared" si="18"/>
        <v>Yes</v>
      </c>
    </row>
    <row r="1001" spans="3:11" x14ac:dyDescent="0.3">
      <c r="C1001">
        <v>977</v>
      </c>
      <c r="D1001">
        <v>5193.53</v>
      </c>
      <c r="E1001" t="s">
        <v>650</v>
      </c>
      <c r="F1001">
        <v>6192.74</v>
      </c>
      <c r="G1001" t="s">
        <v>650</v>
      </c>
      <c r="H1001">
        <v>5706.62</v>
      </c>
      <c r="I1001" t="s">
        <v>649</v>
      </c>
      <c r="K1001" t="str">
        <f t="shared" si="18"/>
        <v>Yes</v>
      </c>
    </row>
    <row r="1002" spans="3:11" x14ac:dyDescent="0.3">
      <c r="C1002">
        <v>978</v>
      </c>
      <c r="D1002">
        <v>4301.8500000000004</v>
      </c>
      <c r="E1002" t="s">
        <v>650</v>
      </c>
      <c r="F1002">
        <v>6260.13</v>
      </c>
      <c r="G1002" t="s">
        <v>650</v>
      </c>
      <c r="H1002">
        <v>5806.01</v>
      </c>
      <c r="I1002" t="s">
        <v>649</v>
      </c>
      <c r="K1002" t="str">
        <f t="shared" si="18"/>
        <v>Yes</v>
      </c>
    </row>
    <row r="1003" spans="3:11" x14ac:dyDescent="0.3">
      <c r="C1003">
        <v>979</v>
      </c>
      <c r="D1003">
        <v>4945.17</v>
      </c>
      <c r="E1003" t="s">
        <v>650</v>
      </c>
      <c r="F1003">
        <v>6098.72</v>
      </c>
      <c r="G1003" t="s">
        <v>650</v>
      </c>
      <c r="H1003">
        <v>7951.14</v>
      </c>
      <c r="I1003" t="s">
        <v>649</v>
      </c>
      <c r="K1003" t="str">
        <f t="shared" si="18"/>
        <v>Yes</v>
      </c>
    </row>
    <row r="1004" spans="3:11" x14ac:dyDescent="0.3">
      <c r="C1004">
        <v>980</v>
      </c>
      <c r="D1004">
        <v>4266.6000000000004</v>
      </c>
      <c r="E1004" t="s">
        <v>650</v>
      </c>
      <c r="F1004">
        <v>5882.54</v>
      </c>
      <c r="G1004" t="s">
        <v>650</v>
      </c>
      <c r="H1004">
        <v>5662.41</v>
      </c>
      <c r="I1004" t="s">
        <v>649</v>
      </c>
      <c r="K1004" t="str">
        <f t="shared" si="18"/>
        <v>Yes</v>
      </c>
    </row>
    <row r="1005" spans="3:11" x14ac:dyDescent="0.3">
      <c r="C1005">
        <v>981</v>
      </c>
      <c r="D1005">
        <v>6313.39</v>
      </c>
      <c r="E1005" t="s">
        <v>650</v>
      </c>
      <c r="F1005">
        <v>5044.54</v>
      </c>
      <c r="G1005" t="s">
        <v>650</v>
      </c>
      <c r="H1005">
        <v>6298.94</v>
      </c>
      <c r="I1005" t="s">
        <v>649</v>
      </c>
      <c r="K1005" t="str">
        <f t="shared" si="18"/>
        <v>Yes</v>
      </c>
    </row>
    <row r="1006" spans="3:11" x14ac:dyDescent="0.3">
      <c r="C1006">
        <v>982</v>
      </c>
      <c r="D1006">
        <v>5246.93</v>
      </c>
      <c r="E1006" t="s">
        <v>650</v>
      </c>
      <c r="F1006">
        <v>6590.7</v>
      </c>
      <c r="G1006" t="s">
        <v>650</v>
      </c>
      <c r="H1006">
        <v>7280.84</v>
      </c>
      <c r="I1006" t="s">
        <v>649</v>
      </c>
      <c r="K1006" t="str">
        <f t="shared" si="18"/>
        <v>Yes</v>
      </c>
    </row>
    <row r="1007" spans="3:11" x14ac:dyDescent="0.3">
      <c r="C1007">
        <v>983</v>
      </c>
      <c r="D1007">
        <v>5479.6</v>
      </c>
      <c r="E1007" t="s">
        <v>650</v>
      </c>
      <c r="F1007">
        <v>4131.9399999999996</v>
      </c>
      <c r="G1007" t="s">
        <v>650</v>
      </c>
      <c r="H1007">
        <v>6158.04</v>
      </c>
      <c r="I1007" t="s">
        <v>649</v>
      </c>
      <c r="K1007" t="str">
        <f t="shared" si="18"/>
        <v>Yes</v>
      </c>
    </row>
    <row r="1008" spans="3:11" x14ac:dyDescent="0.3">
      <c r="C1008">
        <v>984</v>
      </c>
      <c r="D1008">
        <v>5846.55</v>
      </c>
      <c r="E1008" t="s">
        <v>650</v>
      </c>
      <c r="F1008">
        <v>3923.17</v>
      </c>
      <c r="G1008" t="s">
        <v>650</v>
      </c>
      <c r="H1008">
        <v>5202.55</v>
      </c>
      <c r="I1008" t="s">
        <v>649</v>
      </c>
      <c r="K1008" t="str">
        <f t="shared" si="18"/>
        <v>Yes</v>
      </c>
    </row>
    <row r="1009" spans="3:11" x14ac:dyDescent="0.3">
      <c r="C1009">
        <v>985</v>
      </c>
      <c r="D1009">
        <v>5183.93</v>
      </c>
      <c r="E1009" t="s">
        <v>650</v>
      </c>
      <c r="F1009">
        <v>5317.18</v>
      </c>
      <c r="G1009" t="s">
        <v>650</v>
      </c>
      <c r="H1009">
        <v>6969.03</v>
      </c>
      <c r="I1009" t="s">
        <v>649</v>
      </c>
      <c r="K1009" t="str">
        <f t="shared" si="18"/>
        <v>Yes</v>
      </c>
    </row>
    <row r="1010" spans="3:11" x14ac:dyDescent="0.3">
      <c r="C1010">
        <v>986</v>
      </c>
      <c r="D1010">
        <v>4171.05</v>
      </c>
      <c r="E1010" t="s">
        <v>650</v>
      </c>
      <c r="F1010">
        <v>5459.35</v>
      </c>
      <c r="G1010" t="s">
        <v>650</v>
      </c>
      <c r="H1010">
        <v>3862.42</v>
      </c>
      <c r="I1010" t="s">
        <v>649</v>
      </c>
      <c r="K1010" t="str">
        <f t="shared" si="18"/>
        <v>Yes</v>
      </c>
    </row>
    <row r="1011" spans="3:11" x14ac:dyDescent="0.3">
      <c r="C1011">
        <v>987</v>
      </c>
      <c r="D1011">
        <v>6519.06</v>
      </c>
      <c r="E1011" t="s">
        <v>650</v>
      </c>
      <c r="F1011">
        <v>3856.28</v>
      </c>
      <c r="G1011" t="s">
        <v>650</v>
      </c>
      <c r="H1011">
        <v>7176.91</v>
      </c>
      <c r="I1011" t="s">
        <v>649</v>
      </c>
      <c r="K1011" t="str">
        <f t="shared" si="18"/>
        <v>Yes</v>
      </c>
    </row>
    <row r="1012" spans="3:11" x14ac:dyDescent="0.3">
      <c r="C1012">
        <v>988</v>
      </c>
      <c r="D1012">
        <v>5015.13</v>
      </c>
      <c r="E1012" t="s">
        <v>650</v>
      </c>
      <c r="F1012">
        <v>4078.9</v>
      </c>
      <c r="G1012" t="s">
        <v>650</v>
      </c>
      <c r="H1012">
        <v>5849.3</v>
      </c>
      <c r="I1012" t="s">
        <v>649</v>
      </c>
      <c r="K1012" t="str">
        <f t="shared" si="18"/>
        <v>Yes</v>
      </c>
    </row>
    <row r="1013" spans="3:11" x14ac:dyDescent="0.3">
      <c r="C1013">
        <v>989</v>
      </c>
      <c r="D1013">
        <v>5822.61</v>
      </c>
      <c r="E1013" t="s">
        <v>650</v>
      </c>
      <c r="F1013">
        <v>6136.51</v>
      </c>
      <c r="G1013" t="s">
        <v>650</v>
      </c>
      <c r="H1013">
        <v>7891.09</v>
      </c>
      <c r="I1013" t="s">
        <v>649</v>
      </c>
      <c r="K1013" t="str">
        <f t="shared" si="18"/>
        <v>Yes</v>
      </c>
    </row>
    <row r="1014" spans="3:11" x14ac:dyDescent="0.3">
      <c r="C1014">
        <v>990</v>
      </c>
      <c r="D1014">
        <v>7068.13</v>
      </c>
      <c r="E1014" t="s">
        <v>650</v>
      </c>
      <c r="F1014">
        <v>4499.7299999999996</v>
      </c>
      <c r="G1014" t="s">
        <v>650</v>
      </c>
      <c r="H1014">
        <v>7017.05</v>
      </c>
      <c r="I1014" t="s">
        <v>649</v>
      </c>
      <c r="K1014" t="str">
        <f t="shared" si="18"/>
        <v>Yes</v>
      </c>
    </row>
    <row r="1015" spans="3:11" x14ac:dyDescent="0.3">
      <c r="C1015">
        <v>991</v>
      </c>
      <c r="D1015">
        <v>4523.71</v>
      </c>
      <c r="E1015" t="s">
        <v>650</v>
      </c>
      <c r="F1015">
        <v>4224.04</v>
      </c>
      <c r="G1015" t="s">
        <v>650</v>
      </c>
      <c r="H1015">
        <v>5028.47</v>
      </c>
      <c r="I1015" t="s">
        <v>649</v>
      </c>
      <c r="K1015" t="str">
        <f t="shared" si="18"/>
        <v>Yes</v>
      </c>
    </row>
    <row r="1016" spans="3:11" x14ac:dyDescent="0.3">
      <c r="C1016">
        <v>992</v>
      </c>
      <c r="D1016">
        <v>5813.64</v>
      </c>
      <c r="E1016" t="s">
        <v>650</v>
      </c>
      <c r="F1016">
        <v>5694.02</v>
      </c>
      <c r="G1016" t="s">
        <v>650</v>
      </c>
      <c r="H1016">
        <v>5863.77</v>
      </c>
      <c r="I1016" t="s">
        <v>649</v>
      </c>
      <c r="K1016" t="str">
        <f t="shared" si="18"/>
        <v>Yes</v>
      </c>
    </row>
    <row r="1017" spans="3:11" x14ac:dyDescent="0.3">
      <c r="C1017">
        <v>993</v>
      </c>
      <c r="D1017">
        <v>3154.81</v>
      </c>
      <c r="E1017" t="s">
        <v>650</v>
      </c>
      <c r="F1017">
        <v>8137.25</v>
      </c>
      <c r="G1017" t="s">
        <v>650</v>
      </c>
      <c r="H1017">
        <v>5049.91</v>
      </c>
      <c r="I1017" t="s">
        <v>649</v>
      </c>
      <c r="K1017" t="str">
        <f t="shared" si="18"/>
        <v>Yes</v>
      </c>
    </row>
    <row r="1018" spans="3:11" x14ac:dyDescent="0.3">
      <c r="C1018">
        <v>994</v>
      </c>
      <c r="D1018">
        <v>3394.51</v>
      </c>
      <c r="E1018" t="s">
        <v>650</v>
      </c>
      <c r="F1018">
        <v>5176.16</v>
      </c>
      <c r="G1018" t="s">
        <v>650</v>
      </c>
      <c r="H1018">
        <v>6417.22</v>
      </c>
      <c r="I1018" t="s">
        <v>649</v>
      </c>
      <c r="K1018" t="str">
        <f t="shared" si="18"/>
        <v>Yes</v>
      </c>
    </row>
    <row r="1019" spans="3:11" x14ac:dyDescent="0.3">
      <c r="C1019">
        <v>995</v>
      </c>
      <c r="D1019">
        <v>5730.72</v>
      </c>
      <c r="E1019" t="s">
        <v>650</v>
      </c>
      <c r="F1019">
        <v>7086.99</v>
      </c>
      <c r="G1019" t="s">
        <v>650</v>
      </c>
      <c r="H1019">
        <v>6031.73</v>
      </c>
      <c r="I1019" t="s">
        <v>649</v>
      </c>
      <c r="K1019" t="str">
        <f t="shared" si="18"/>
        <v>Yes</v>
      </c>
    </row>
    <row r="1020" spans="3:11" x14ac:dyDescent="0.3">
      <c r="C1020">
        <v>996</v>
      </c>
      <c r="D1020">
        <v>5709.44</v>
      </c>
      <c r="E1020" t="s">
        <v>650</v>
      </c>
      <c r="F1020">
        <v>4270.1899999999996</v>
      </c>
      <c r="G1020" t="s">
        <v>650</v>
      </c>
      <c r="H1020">
        <v>5859.44</v>
      </c>
      <c r="I1020" t="s">
        <v>649</v>
      </c>
      <c r="K1020" t="str">
        <f t="shared" si="18"/>
        <v>Yes</v>
      </c>
    </row>
    <row r="1021" spans="3:11" x14ac:dyDescent="0.3">
      <c r="C1021">
        <v>997</v>
      </c>
      <c r="D1021">
        <v>3939.56</v>
      </c>
      <c r="E1021" t="s">
        <v>650</v>
      </c>
      <c r="F1021">
        <v>6653.53</v>
      </c>
      <c r="G1021" t="s">
        <v>650</v>
      </c>
      <c r="H1021">
        <v>6288.48</v>
      </c>
      <c r="I1021" t="s">
        <v>649</v>
      </c>
      <c r="K1021" t="str">
        <f t="shared" si="18"/>
        <v>Yes</v>
      </c>
    </row>
    <row r="1022" spans="3:11" x14ac:dyDescent="0.3">
      <c r="C1022">
        <v>998</v>
      </c>
      <c r="D1022">
        <v>4828.8900000000003</v>
      </c>
      <c r="E1022" t="s">
        <v>650</v>
      </c>
      <c r="F1022">
        <v>5797.45</v>
      </c>
      <c r="G1022" t="s">
        <v>650</v>
      </c>
      <c r="H1022">
        <v>4631.68</v>
      </c>
      <c r="I1022" t="s">
        <v>649</v>
      </c>
      <c r="K1022" t="str">
        <f t="shared" si="18"/>
        <v>Yes</v>
      </c>
    </row>
    <row r="1023" spans="3:11" x14ac:dyDescent="0.3">
      <c r="C1023">
        <v>999</v>
      </c>
      <c r="D1023">
        <v>4830.3100000000004</v>
      </c>
      <c r="E1023" t="s">
        <v>650</v>
      </c>
      <c r="F1023">
        <v>5474.11</v>
      </c>
      <c r="G1023" t="s">
        <v>650</v>
      </c>
      <c r="H1023">
        <v>6795.07</v>
      </c>
      <c r="I1023" t="s">
        <v>649</v>
      </c>
      <c r="K1023" t="str">
        <f t="shared" si="18"/>
        <v>Yes</v>
      </c>
    </row>
    <row r="1024" spans="3:11" x14ac:dyDescent="0.3">
      <c r="C1024">
        <v>1000</v>
      </c>
      <c r="D1024">
        <v>5549.38</v>
      </c>
      <c r="E1024" t="s">
        <v>650</v>
      </c>
      <c r="F1024">
        <v>4231.0600000000004</v>
      </c>
      <c r="G1024" t="s">
        <v>650</v>
      </c>
      <c r="H1024">
        <v>6842.98</v>
      </c>
      <c r="I1024" t="s">
        <v>649</v>
      </c>
      <c r="K1024" t="str">
        <f t="shared" si="18"/>
        <v>Yes</v>
      </c>
    </row>
  </sheetData>
  <mergeCells count="3">
    <mergeCell ref="C10:H10"/>
    <mergeCell ref="C22:I22"/>
    <mergeCell ref="K22:Q2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E50DA-A5F7-4748-B749-2757C7B0D384}">
  <sheetPr>
    <tabColor theme="5" tint="0.39997558519241921"/>
  </sheetPr>
  <dimension ref="A1:M33"/>
  <sheetViews>
    <sheetView workbookViewId="0">
      <selection activeCell="K41" sqref="K41"/>
    </sheetView>
  </sheetViews>
  <sheetFormatPr defaultRowHeight="14.4" x14ac:dyDescent="0.3"/>
  <cols>
    <col min="3" max="3" width="11.6640625" customWidth="1"/>
    <col min="10" max="10" width="12.21875" customWidth="1"/>
    <col min="11" max="11" width="9.6640625" customWidth="1"/>
    <col min="12" max="12" width="13" customWidth="1"/>
    <col min="13" max="13" width="10.33203125" bestFit="1" customWidth="1"/>
  </cols>
  <sheetData>
    <row r="1" spans="1:8" ht="15" thickBot="1" x14ac:dyDescent="0.35">
      <c r="A1" t="s">
        <v>67</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D12" t="s">
        <v>66</v>
      </c>
    </row>
    <row r="13" spans="1:8" x14ac:dyDescent="0.3">
      <c r="C13">
        <v>1.25</v>
      </c>
      <c r="D13" t="s">
        <v>65</v>
      </c>
    </row>
    <row r="14" spans="1:8" x14ac:dyDescent="0.3">
      <c r="C14">
        <v>1.1499999999999999</v>
      </c>
      <c r="D14" t="s">
        <v>64</v>
      </c>
    </row>
    <row r="15" spans="1:8" x14ac:dyDescent="0.3">
      <c r="C15">
        <v>1</v>
      </c>
      <c r="D15" t="s">
        <v>63</v>
      </c>
    </row>
    <row r="16" spans="1:8" x14ac:dyDescent="0.3">
      <c r="C16">
        <v>0.5</v>
      </c>
      <c r="D16" t="s">
        <v>62</v>
      </c>
    </row>
    <row r="17" spans="3:13" x14ac:dyDescent="0.3">
      <c r="C17">
        <v>0.8</v>
      </c>
      <c r="D17" t="s">
        <v>61</v>
      </c>
    </row>
    <row r="18" spans="3:13" x14ac:dyDescent="0.3">
      <c r="C18">
        <v>0.03</v>
      </c>
      <c r="D18" t="s">
        <v>60</v>
      </c>
    </row>
    <row r="19" spans="3:13" x14ac:dyDescent="0.3">
      <c r="C19" s="5">
        <v>10500</v>
      </c>
      <c r="D19" t="s">
        <v>59</v>
      </c>
    </row>
    <row r="20" spans="3:13" x14ac:dyDescent="0.3">
      <c r="C20" s="28">
        <v>11100</v>
      </c>
      <c r="D20" t="s">
        <v>58</v>
      </c>
    </row>
    <row r="21" spans="3:13" x14ac:dyDescent="0.3">
      <c r="C21">
        <f>1/3</f>
        <v>0.33333333333333331</v>
      </c>
      <c r="D21" t="s">
        <v>57</v>
      </c>
    </row>
    <row r="27" spans="3:13" ht="15" thickBot="1" x14ac:dyDescent="0.35"/>
    <row r="28" spans="3:13" ht="15" thickBot="1" x14ac:dyDescent="0.35">
      <c r="C28" s="182" t="s">
        <v>10</v>
      </c>
      <c r="D28" s="183"/>
      <c r="E28" s="183"/>
      <c r="F28" s="183"/>
      <c r="G28" s="184"/>
      <c r="I28" s="182" t="s">
        <v>9</v>
      </c>
      <c r="J28" s="183"/>
      <c r="K28" s="183"/>
      <c r="L28" s="183"/>
      <c r="M28" s="184"/>
    </row>
    <row r="32" spans="3:13" x14ac:dyDescent="0.3">
      <c r="D32">
        <v>2018</v>
      </c>
      <c r="E32">
        <v>2019</v>
      </c>
      <c r="F32">
        <v>2020</v>
      </c>
    </row>
    <row r="33" spans="4:6" x14ac:dyDescent="0.3">
      <c r="D33" s="28">
        <v>955</v>
      </c>
      <c r="E33" s="28">
        <v>1010</v>
      </c>
      <c r="F33" s="28">
        <v>1110</v>
      </c>
    </row>
  </sheetData>
  <mergeCells count="3">
    <mergeCell ref="C10:F10"/>
    <mergeCell ref="C28:G28"/>
    <mergeCell ref="I28:M28"/>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99053-9AF1-4100-AE69-B87395353F65}">
  <sheetPr>
    <tabColor theme="5" tint="0.39997558519241921"/>
  </sheetPr>
  <dimension ref="A1:M45"/>
  <sheetViews>
    <sheetView workbookViewId="0">
      <selection activeCell="L46" sqref="L46"/>
    </sheetView>
  </sheetViews>
  <sheetFormatPr defaultRowHeight="14.4" x14ac:dyDescent="0.3"/>
  <cols>
    <col min="4" max="4" width="11.5546875" bestFit="1" customWidth="1"/>
    <col min="12" max="13" width="9.88671875" bestFit="1" customWidth="1"/>
  </cols>
  <sheetData>
    <row r="1" spans="1:8" ht="15" thickBot="1" x14ac:dyDescent="0.35">
      <c r="A1" t="s">
        <v>683</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C12" t="s">
        <v>682</v>
      </c>
    </row>
    <row r="13" spans="1:8" x14ac:dyDescent="0.3">
      <c r="C13" t="s">
        <v>681</v>
      </c>
      <c r="D13" t="s">
        <v>680</v>
      </c>
    </row>
    <row r="14" spans="1:8" x14ac:dyDescent="0.3">
      <c r="B14" t="s">
        <v>679</v>
      </c>
      <c r="C14">
        <v>0</v>
      </c>
      <c r="D14">
        <v>0.02</v>
      </c>
    </row>
    <row r="15" spans="1:8" x14ac:dyDescent="0.3">
      <c r="B15" t="s">
        <v>678</v>
      </c>
      <c r="C15">
        <v>0.01</v>
      </c>
      <c r="D15">
        <v>0</v>
      </c>
    </row>
    <row r="17" spans="1:13" x14ac:dyDescent="0.3">
      <c r="C17">
        <v>0</v>
      </c>
      <c r="D17" t="s">
        <v>677</v>
      </c>
    </row>
    <row r="19" spans="1:13" x14ac:dyDescent="0.3">
      <c r="C19" t="s">
        <v>676</v>
      </c>
      <c r="D19" t="s">
        <v>675</v>
      </c>
    </row>
    <row r="20" spans="1:13" x14ac:dyDescent="0.3">
      <c r="C20" s="3">
        <v>-0.1</v>
      </c>
      <c r="D20" t="s">
        <v>674</v>
      </c>
    </row>
    <row r="21" spans="1:13" x14ac:dyDescent="0.3">
      <c r="C21" s="3">
        <v>0.1</v>
      </c>
      <c r="D21" t="s">
        <v>673</v>
      </c>
    </row>
    <row r="23" spans="1:13" ht="15" thickBot="1" x14ac:dyDescent="0.35"/>
    <row r="24" spans="1:13" ht="15" thickBot="1" x14ac:dyDescent="0.35">
      <c r="C24" s="182" t="s">
        <v>10</v>
      </c>
      <c r="D24" s="183"/>
      <c r="E24" s="183"/>
      <c r="F24" s="183"/>
      <c r="G24" s="184"/>
      <c r="I24" s="182" t="s">
        <v>9</v>
      </c>
      <c r="J24" s="183"/>
      <c r="K24" s="183"/>
      <c r="L24" s="183"/>
      <c r="M24" s="184"/>
    </row>
    <row r="26" spans="1:13" x14ac:dyDescent="0.3">
      <c r="A26" t="s">
        <v>672</v>
      </c>
      <c r="C26" t="s">
        <v>671</v>
      </c>
      <c r="D26" t="s">
        <v>670</v>
      </c>
      <c r="E26" t="s">
        <v>669</v>
      </c>
    </row>
    <row r="27" spans="1:13" x14ac:dyDescent="0.3">
      <c r="C27" t="s">
        <v>668</v>
      </c>
      <c r="D27" s="57">
        <v>50000</v>
      </c>
      <c r="E27" s="3">
        <v>0.05</v>
      </c>
    </row>
    <row r="28" spans="1:13" x14ac:dyDescent="0.3">
      <c r="C28" t="s">
        <v>667</v>
      </c>
      <c r="D28" s="57">
        <v>5000</v>
      </c>
      <c r="E28" s="3">
        <v>0.55000000000000004</v>
      </c>
    </row>
    <row r="29" spans="1:13" x14ac:dyDescent="0.3">
      <c r="C29" t="s">
        <v>666</v>
      </c>
      <c r="D29" s="57">
        <v>500</v>
      </c>
      <c r="E29" s="3">
        <v>0.4</v>
      </c>
    </row>
    <row r="30" spans="1:13" x14ac:dyDescent="0.3">
      <c r="D30" s="57"/>
      <c r="E30" s="3"/>
    </row>
    <row r="31" spans="1:13" x14ac:dyDescent="0.3">
      <c r="D31" s="57"/>
      <c r="E31" s="3"/>
    </row>
    <row r="32" spans="1:13" x14ac:dyDescent="0.3">
      <c r="D32" s="57"/>
      <c r="E32" s="3"/>
    </row>
    <row r="33" spans="1:5" x14ac:dyDescent="0.3">
      <c r="D33" s="57"/>
      <c r="E33" s="3"/>
    </row>
    <row r="34" spans="1:5" x14ac:dyDescent="0.3">
      <c r="D34" s="57"/>
      <c r="E34" s="3"/>
    </row>
    <row r="35" spans="1:5" x14ac:dyDescent="0.3">
      <c r="D35" s="57"/>
      <c r="E35" s="3"/>
    </row>
    <row r="41" spans="1:5" s="6" customFormat="1" x14ac:dyDescent="0.3">
      <c r="A41" s="6" t="s">
        <v>665</v>
      </c>
    </row>
    <row r="42" spans="1:5" x14ac:dyDescent="0.3">
      <c r="D42" t="s">
        <v>664</v>
      </c>
      <c r="E42" t="s">
        <v>663</v>
      </c>
    </row>
    <row r="43" spans="1:5" x14ac:dyDescent="0.3">
      <c r="C43" t="s">
        <v>662</v>
      </c>
      <c r="D43">
        <v>100</v>
      </c>
      <c r="E43" s="57">
        <v>8000</v>
      </c>
    </row>
    <row r="44" spans="1:5" x14ac:dyDescent="0.3">
      <c r="C44" t="s">
        <v>373</v>
      </c>
      <c r="D44">
        <v>1.05</v>
      </c>
      <c r="E44">
        <v>1.1000000000000001</v>
      </c>
    </row>
    <row r="45" spans="1:5" x14ac:dyDescent="0.3">
      <c r="C45" t="s">
        <v>661</v>
      </c>
      <c r="D45">
        <v>99</v>
      </c>
      <c r="E45" s="57">
        <v>8800</v>
      </c>
    </row>
  </sheetData>
  <mergeCells count="3">
    <mergeCell ref="C10:F10"/>
    <mergeCell ref="C24:G24"/>
    <mergeCell ref="I24:M24"/>
  </mergeCells>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91282-9DBA-4B25-9F4A-43F676D91F81}">
  <sheetPr>
    <tabColor theme="9" tint="0.59999389629810485"/>
  </sheetPr>
  <dimension ref="A1:Q57"/>
  <sheetViews>
    <sheetView workbookViewId="0">
      <selection activeCell="R47" sqref="R47"/>
    </sheetView>
  </sheetViews>
  <sheetFormatPr defaultRowHeight="14.4" x14ac:dyDescent="0.3"/>
  <cols>
    <col min="4" max="4" width="11.5546875" bestFit="1" customWidth="1"/>
    <col min="12" max="13" width="9.88671875" bestFit="1" customWidth="1"/>
  </cols>
  <sheetData>
    <row r="1" spans="1:8" ht="15" thickBot="1" x14ac:dyDescent="0.35">
      <c r="A1" t="s">
        <v>683</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C12" t="s">
        <v>682</v>
      </c>
    </row>
    <row r="13" spans="1:8" x14ac:dyDescent="0.3">
      <c r="C13" t="s">
        <v>681</v>
      </c>
      <c r="D13" t="s">
        <v>680</v>
      </c>
    </row>
    <row r="14" spans="1:8" x14ac:dyDescent="0.3">
      <c r="B14" t="s">
        <v>679</v>
      </c>
      <c r="C14">
        <v>0</v>
      </c>
      <c r="D14">
        <v>0.02</v>
      </c>
    </row>
    <row r="15" spans="1:8" x14ac:dyDescent="0.3">
      <c r="B15" t="s">
        <v>678</v>
      </c>
      <c r="C15">
        <v>0.01</v>
      </c>
      <c r="D15">
        <v>0</v>
      </c>
    </row>
    <row r="17" spans="1:13" x14ac:dyDescent="0.3">
      <c r="C17">
        <v>0</v>
      </c>
      <c r="D17" t="s">
        <v>677</v>
      </c>
    </row>
    <row r="19" spans="1:13" x14ac:dyDescent="0.3">
      <c r="C19" t="s">
        <v>676</v>
      </c>
      <c r="D19" t="s">
        <v>675</v>
      </c>
    </row>
    <row r="20" spans="1:13" x14ac:dyDescent="0.3">
      <c r="C20" s="3">
        <v>-0.1</v>
      </c>
      <c r="D20" t="s">
        <v>674</v>
      </c>
    </row>
    <row r="21" spans="1:13" x14ac:dyDescent="0.3">
      <c r="C21" s="3">
        <v>0.1</v>
      </c>
      <c r="D21" t="s">
        <v>673</v>
      </c>
    </row>
    <row r="23" spans="1:13" ht="15" thickBot="1" x14ac:dyDescent="0.35"/>
    <row r="24" spans="1:13" ht="15" thickBot="1" x14ac:dyDescent="0.35">
      <c r="C24" s="182" t="s">
        <v>10</v>
      </c>
      <c r="D24" s="183"/>
      <c r="E24" s="183"/>
      <c r="F24" s="183"/>
      <c r="G24" s="184"/>
      <c r="I24" s="182" t="s">
        <v>9</v>
      </c>
      <c r="J24" s="183"/>
      <c r="K24" s="183"/>
      <c r="L24" s="183"/>
      <c r="M24" s="184"/>
    </row>
    <row r="25" spans="1:13" x14ac:dyDescent="0.3">
      <c r="J25" t="s">
        <v>695</v>
      </c>
    </row>
    <row r="26" spans="1:13" x14ac:dyDescent="0.3">
      <c r="A26" t="s">
        <v>672</v>
      </c>
      <c r="C26" t="s">
        <v>671</v>
      </c>
      <c r="D26" t="s">
        <v>670</v>
      </c>
      <c r="E26" t="s">
        <v>669</v>
      </c>
      <c r="I26" t="str">
        <f>C26</f>
        <v>Risk Members</v>
      </c>
      <c r="J26">
        <v>1</v>
      </c>
      <c r="K26">
        <v>2</v>
      </c>
      <c r="L26">
        <v>3</v>
      </c>
    </row>
    <row r="27" spans="1:13" x14ac:dyDescent="0.3">
      <c r="C27" t="s">
        <v>668</v>
      </c>
      <c r="D27" s="57">
        <v>50000</v>
      </c>
      <c r="E27" s="3">
        <v>0.05</v>
      </c>
      <c r="I27" t="str">
        <f>C27</f>
        <v>High</v>
      </c>
      <c r="J27" s="30">
        <f>E27</f>
        <v>0.05</v>
      </c>
      <c r="K27" s="93">
        <f>J27+C15</f>
        <v>6.0000000000000005E-2</v>
      </c>
      <c r="L27" s="93">
        <f>K27+D15</f>
        <v>6.0000000000000005E-2</v>
      </c>
    </row>
    <row r="28" spans="1:13" x14ac:dyDescent="0.3">
      <c r="C28" t="s">
        <v>667</v>
      </c>
      <c r="D28" s="57">
        <v>5000</v>
      </c>
      <c r="E28" s="3">
        <v>0.55000000000000004</v>
      </c>
      <c r="I28" t="str">
        <f>C28</f>
        <v>Medium</v>
      </c>
      <c r="J28" s="30">
        <f>E28</f>
        <v>0.55000000000000004</v>
      </c>
      <c r="K28" s="93">
        <f>1-K27-K29</f>
        <v>0.53999999999999992</v>
      </c>
      <c r="L28" s="93">
        <f>1-L27-L29</f>
        <v>0.51999999999999991</v>
      </c>
    </row>
    <row r="29" spans="1:13" x14ac:dyDescent="0.3">
      <c r="C29" t="s">
        <v>666</v>
      </c>
      <c r="D29" s="57">
        <v>500</v>
      </c>
      <c r="E29" s="3">
        <v>0.4</v>
      </c>
      <c r="I29" t="str">
        <f>C29</f>
        <v>Low</v>
      </c>
      <c r="J29" s="30">
        <f>E29</f>
        <v>0.4</v>
      </c>
      <c r="K29" s="93">
        <f>J29+C14</f>
        <v>0.4</v>
      </c>
      <c r="L29" s="93">
        <f>K29+D14</f>
        <v>0.42000000000000004</v>
      </c>
    </row>
    <row r="30" spans="1:13" x14ac:dyDescent="0.3">
      <c r="D30" s="57"/>
      <c r="E30" s="3"/>
      <c r="K30" s="30"/>
      <c r="L30" s="93"/>
      <c r="M30" s="93"/>
    </row>
    <row r="31" spans="1:13" x14ac:dyDescent="0.3">
      <c r="D31" s="57"/>
      <c r="E31" s="3"/>
      <c r="J31" t="s">
        <v>767</v>
      </c>
      <c r="K31" s="30"/>
      <c r="L31" s="93"/>
      <c r="M31" s="93"/>
    </row>
    <row r="32" spans="1:13" x14ac:dyDescent="0.3">
      <c r="D32" s="57"/>
      <c r="E32" s="3"/>
      <c r="I32" t="s">
        <v>671</v>
      </c>
      <c r="J32">
        <v>1</v>
      </c>
      <c r="K32">
        <v>2</v>
      </c>
      <c r="L32">
        <v>3</v>
      </c>
      <c r="M32" s="93"/>
    </row>
    <row r="33" spans="1:17" x14ac:dyDescent="0.3">
      <c r="D33" s="57"/>
      <c r="E33" s="3"/>
      <c r="I33" t="s">
        <v>668</v>
      </c>
      <c r="J33" s="57">
        <f>D27</f>
        <v>50000</v>
      </c>
      <c r="K33" s="57">
        <f>J33*(1+$C$17)</f>
        <v>50000</v>
      </c>
      <c r="L33" s="57">
        <f>K33*(1+C20)</f>
        <v>45000</v>
      </c>
      <c r="M33" s="93"/>
    </row>
    <row r="34" spans="1:17" x14ac:dyDescent="0.3">
      <c r="D34" s="57"/>
      <c r="E34" s="3"/>
      <c r="I34" t="s">
        <v>667</v>
      </c>
      <c r="J34" s="57">
        <f>D28</f>
        <v>5000</v>
      </c>
      <c r="K34" s="57">
        <f>J34*(1+$C$17)</f>
        <v>5000</v>
      </c>
      <c r="L34" s="57">
        <f>K34</f>
        <v>5000</v>
      </c>
      <c r="M34" s="93"/>
    </row>
    <row r="35" spans="1:17" x14ac:dyDescent="0.3">
      <c r="D35" s="57"/>
      <c r="E35" s="3"/>
      <c r="I35" t="s">
        <v>666</v>
      </c>
      <c r="J35" s="57">
        <f>D29</f>
        <v>500</v>
      </c>
      <c r="K35" s="57">
        <f>J35*(1+$C$17)</f>
        <v>500</v>
      </c>
      <c r="L35" s="57">
        <f>K35*(1+C21)</f>
        <v>550</v>
      </c>
      <c r="M35" s="93"/>
    </row>
    <row r="37" spans="1:17" x14ac:dyDescent="0.3">
      <c r="J37">
        <f>SUMPRODUCT(J27:J29,J33:J35)</f>
        <v>5450</v>
      </c>
      <c r="K37">
        <f>SUMPRODUCT(K27:K29,K33:K35)</f>
        <v>5900</v>
      </c>
      <c r="L37">
        <f>SUMPRODUCT(L27:L29,L33:L35)</f>
        <v>5531</v>
      </c>
    </row>
    <row r="39" spans="1:17" x14ac:dyDescent="0.3">
      <c r="K39" s="77">
        <f>K37/J37-1</f>
        <v>8.256880733944949E-2</v>
      </c>
      <c r="L39" s="77">
        <f>L37/K37-1</f>
        <v>-6.254237288135589E-2</v>
      </c>
    </row>
    <row r="41" spans="1:17" s="6" customFormat="1" x14ac:dyDescent="0.3">
      <c r="A41" s="6" t="s">
        <v>665</v>
      </c>
    </row>
    <row r="42" spans="1:17" x14ac:dyDescent="0.3">
      <c r="D42" t="s">
        <v>664</v>
      </c>
      <c r="E42" t="s">
        <v>663</v>
      </c>
      <c r="I42" s="139"/>
      <c r="J42" s="139"/>
      <c r="K42" s="139"/>
    </row>
    <row r="43" spans="1:17" x14ac:dyDescent="0.3">
      <c r="C43" t="s">
        <v>662</v>
      </c>
      <c r="D43">
        <v>100</v>
      </c>
      <c r="E43" s="57">
        <v>8000</v>
      </c>
    </row>
    <row r="44" spans="1:17" x14ac:dyDescent="0.3">
      <c r="C44" t="s">
        <v>373</v>
      </c>
      <c r="D44">
        <v>1.05</v>
      </c>
      <c r="E44">
        <v>1.1000000000000001</v>
      </c>
      <c r="I44" s="73" t="s">
        <v>766</v>
      </c>
      <c r="O44" s="73" t="s">
        <v>765</v>
      </c>
    </row>
    <row r="45" spans="1:17" x14ac:dyDescent="0.3">
      <c r="C45" t="s">
        <v>661</v>
      </c>
      <c r="D45">
        <v>99</v>
      </c>
      <c r="E45" s="57">
        <v>8800</v>
      </c>
    </row>
    <row r="46" spans="1:17" x14ac:dyDescent="0.3">
      <c r="J46" s="31"/>
    </row>
    <row r="47" spans="1:17" x14ac:dyDescent="0.3">
      <c r="I47" s="73" t="s">
        <v>662</v>
      </c>
      <c r="J47" s="31"/>
      <c r="O47" s="73" t="s">
        <v>662</v>
      </c>
    </row>
    <row r="48" spans="1:17" x14ac:dyDescent="0.3">
      <c r="J48" s="31">
        <f>D43</f>
        <v>100</v>
      </c>
      <c r="K48" t="s">
        <v>724</v>
      </c>
      <c r="P48" s="151">
        <f>E43</f>
        <v>8000</v>
      </c>
      <c r="Q48" t="s">
        <v>764</v>
      </c>
    </row>
    <row r="49" spans="9:17" x14ac:dyDescent="0.3">
      <c r="P49" s="149">
        <f>J48*P48/12000</f>
        <v>66.666666666666671</v>
      </c>
      <c r="Q49" t="s">
        <v>741</v>
      </c>
    </row>
    <row r="51" spans="9:17" x14ac:dyDescent="0.3">
      <c r="P51" s="31"/>
    </row>
    <row r="52" spans="9:17" x14ac:dyDescent="0.3">
      <c r="I52" s="150" t="s">
        <v>132</v>
      </c>
      <c r="J52" s="31"/>
      <c r="O52" s="150" t="s">
        <v>132</v>
      </c>
      <c r="P52" s="31"/>
    </row>
    <row r="53" spans="9:17" x14ac:dyDescent="0.3">
      <c r="I53" s="18" t="s">
        <v>661</v>
      </c>
      <c r="J53" s="31">
        <f>D45</f>
        <v>99</v>
      </c>
      <c r="K53" t="s">
        <v>724</v>
      </c>
      <c r="O53" s="18" t="s">
        <v>661</v>
      </c>
      <c r="P53" s="149">
        <f>E45*D45/12000</f>
        <v>72.599999999999994</v>
      </c>
      <c r="Q53" t="s">
        <v>741</v>
      </c>
    </row>
    <row r="54" spans="9:17" x14ac:dyDescent="0.3">
      <c r="I54" s="18" t="s">
        <v>763</v>
      </c>
      <c r="J54" s="31">
        <f>D43*D44</f>
        <v>105</v>
      </c>
      <c r="K54" t="s">
        <v>724</v>
      </c>
      <c r="O54" s="18" t="s">
        <v>763</v>
      </c>
      <c r="P54" s="149">
        <f>P49*D44*E44</f>
        <v>77.000000000000028</v>
      </c>
      <c r="Q54" t="s">
        <v>741</v>
      </c>
    </row>
    <row r="55" spans="9:17" x14ac:dyDescent="0.3">
      <c r="I55" s="18" t="s">
        <v>762</v>
      </c>
      <c r="J55" s="31">
        <f>J54-J53</f>
        <v>6</v>
      </c>
      <c r="K55" t="s">
        <v>724</v>
      </c>
      <c r="O55" s="18" t="s">
        <v>761</v>
      </c>
      <c r="P55" s="149">
        <f>P54-P53</f>
        <v>4.4000000000000341</v>
      </c>
      <c r="Q55" t="s">
        <v>741</v>
      </c>
    </row>
    <row r="57" spans="9:17" x14ac:dyDescent="0.3">
      <c r="J57" s="19">
        <f>J55*E45/12000</f>
        <v>4.4000000000000004</v>
      </c>
      <c r="K57" t="s">
        <v>760</v>
      </c>
      <c r="P57" s="19">
        <f>P55</f>
        <v>4.4000000000000341</v>
      </c>
      <c r="Q57" t="s">
        <v>759</v>
      </c>
    </row>
  </sheetData>
  <mergeCells count="3">
    <mergeCell ref="C10:F10"/>
    <mergeCell ref="C24:G24"/>
    <mergeCell ref="I24:M24"/>
  </mergeCells>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D7B4B-3820-41DB-BCCE-51DD2C5A157E}">
  <sheetPr>
    <tabColor theme="5" tint="0.39997558519241921"/>
  </sheetPr>
  <dimension ref="A1:H30"/>
  <sheetViews>
    <sheetView workbookViewId="0">
      <selection activeCell="L46" sqref="L46"/>
    </sheetView>
  </sheetViews>
  <sheetFormatPr defaultRowHeight="14.4" x14ac:dyDescent="0.3"/>
  <cols>
    <col min="3" max="3" width="25.109375" customWidth="1"/>
    <col min="4" max="4" width="30.21875" customWidth="1"/>
    <col min="5" max="6" width="16.88671875" customWidth="1"/>
  </cols>
  <sheetData>
    <row r="1" spans="1:8" ht="15" thickBot="1" x14ac:dyDescent="0.35">
      <c r="A1" t="s">
        <v>696</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ht="46.5" customHeight="1" x14ac:dyDescent="0.3">
      <c r="C12" t="s">
        <v>695</v>
      </c>
      <c r="E12" s="29" t="s">
        <v>694</v>
      </c>
      <c r="F12" s="29" t="s">
        <v>693</v>
      </c>
    </row>
    <row r="13" spans="1:8" x14ac:dyDescent="0.3">
      <c r="C13" t="s">
        <v>692</v>
      </c>
      <c r="E13" s="5">
        <v>150000</v>
      </c>
      <c r="F13" s="49">
        <v>3.1E-2</v>
      </c>
    </row>
    <row r="14" spans="1:8" x14ac:dyDescent="0.3">
      <c r="C14" t="s">
        <v>691</v>
      </c>
      <c r="E14" s="49">
        <v>0.33333333333333331</v>
      </c>
      <c r="F14" s="49">
        <v>0</v>
      </c>
    </row>
    <row r="15" spans="1:8" x14ac:dyDescent="0.3">
      <c r="C15" t="s">
        <v>607</v>
      </c>
      <c r="E15" s="5">
        <v>30000</v>
      </c>
      <c r="F15" s="49">
        <v>-0.04</v>
      </c>
    </row>
    <row r="16" spans="1:8" x14ac:dyDescent="0.3">
      <c r="C16" t="s">
        <v>690</v>
      </c>
      <c r="E16" s="27">
        <v>7500</v>
      </c>
      <c r="F16" s="49">
        <v>5.6000000000000001E-2</v>
      </c>
    </row>
    <row r="17" spans="3:7" x14ac:dyDescent="0.3">
      <c r="C17" t="s">
        <v>689</v>
      </c>
      <c r="F17" s="49">
        <v>5.3999999999999999E-2</v>
      </c>
    </row>
    <row r="18" spans="3:7" x14ac:dyDescent="0.3">
      <c r="F18" s="49"/>
    </row>
    <row r="19" spans="3:7" x14ac:dyDescent="0.3">
      <c r="F19" t="s">
        <v>688</v>
      </c>
    </row>
    <row r="20" spans="3:7" x14ac:dyDescent="0.3">
      <c r="C20" t="s">
        <v>687</v>
      </c>
      <c r="F20" s="27">
        <v>30000000</v>
      </c>
    </row>
    <row r="21" spans="3:7" x14ac:dyDescent="0.3">
      <c r="C21" t="s">
        <v>686</v>
      </c>
      <c r="F21" s="27">
        <v>10000000</v>
      </c>
    </row>
    <row r="22" spans="3:7" x14ac:dyDescent="0.3">
      <c r="C22" t="s">
        <v>685</v>
      </c>
      <c r="F22" s="27">
        <v>2000000</v>
      </c>
    </row>
    <row r="23" spans="3:7" x14ac:dyDescent="0.3">
      <c r="C23" t="s">
        <v>684</v>
      </c>
      <c r="F23" s="27">
        <v>8000000</v>
      </c>
    </row>
    <row r="29" spans="3:7" ht="15" thickBot="1" x14ac:dyDescent="0.35"/>
    <row r="30" spans="3:7" ht="15" thickBot="1" x14ac:dyDescent="0.35">
      <c r="C30" s="182" t="s">
        <v>9</v>
      </c>
      <c r="D30" s="183"/>
      <c r="E30" s="183"/>
      <c r="F30" s="183"/>
      <c r="G30" s="184"/>
    </row>
  </sheetData>
  <mergeCells count="2">
    <mergeCell ref="C10:F10"/>
    <mergeCell ref="C30:G30"/>
  </mergeCells>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0E88C-B539-4AB0-A183-F17CCB8B72D0}">
  <sheetPr>
    <tabColor theme="9" tint="0.59999389629810485"/>
  </sheetPr>
  <dimension ref="A1:H52"/>
  <sheetViews>
    <sheetView workbookViewId="0">
      <selection activeCell="R47" sqref="R47"/>
    </sheetView>
  </sheetViews>
  <sheetFormatPr defaultRowHeight="14.4" x14ac:dyDescent="0.3"/>
  <cols>
    <col min="3" max="3" width="25.109375" customWidth="1"/>
    <col min="4" max="4" width="30.21875" customWidth="1"/>
    <col min="5" max="6" width="16.88671875" customWidth="1"/>
  </cols>
  <sheetData>
    <row r="1" spans="1:8" ht="15" thickBot="1" x14ac:dyDescent="0.35">
      <c r="A1" t="s">
        <v>696</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ht="46.5" customHeight="1" x14ac:dyDescent="0.3">
      <c r="C12" t="s">
        <v>695</v>
      </c>
      <c r="E12" s="29" t="s">
        <v>694</v>
      </c>
      <c r="F12" s="29" t="s">
        <v>693</v>
      </c>
    </row>
    <row r="13" spans="1:8" x14ac:dyDescent="0.3">
      <c r="C13" t="s">
        <v>692</v>
      </c>
      <c r="E13" s="5">
        <v>150000</v>
      </c>
      <c r="F13" s="49">
        <v>3.1E-2</v>
      </c>
    </row>
    <row r="14" spans="1:8" x14ac:dyDescent="0.3">
      <c r="C14" t="s">
        <v>691</v>
      </c>
      <c r="E14" s="49">
        <v>0.33333333333333331</v>
      </c>
      <c r="F14" s="49">
        <v>0</v>
      </c>
    </row>
    <row r="15" spans="1:8" x14ac:dyDescent="0.3">
      <c r="C15" t="s">
        <v>607</v>
      </c>
      <c r="E15" s="5">
        <v>30000</v>
      </c>
      <c r="F15" s="49">
        <v>-0.04</v>
      </c>
    </row>
    <row r="16" spans="1:8" x14ac:dyDescent="0.3">
      <c r="C16" t="s">
        <v>690</v>
      </c>
      <c r="E16" s="27">
        <v>7500</v>
      </c>
      <c r="F16" s="49">
        <v>5.6000000000000001E-2</v>
      </c>
    </row>
    <row r="17" spans="3:7" x14ac:dyDescent="0.3">
      <c r="C17" t="s">
        <v>689</v>
      </c>
      <c r="F17" s="49">
        <v>5.3999999999999999E-2</v>
      </c>
    </row>
    <row r="18" spans="3:7" x14ac:dyDescent="0.3">
      <c r="F18" s="49"/>
    </row>
    <row r="19" spans="3:7" x14ac:dyDescent="0.3">
      <c r="F19" t="s">
        <v>688</v>
      </c>
    </row>
    <row r="20" spans="3:7" x14ac:dyDescent="0.3">
      <c r="C20" t="s">
        <v>687</v>
      </c>
      <c r="F20" s="27">
        <v>30000000</v>
      </c>
    </row>
    <row r="21" spans="3:7" x14ac:dyDescent="0.3">
      <c r="C21" t="s">
        <v>686</v>
      </c>
      <c r="F21" s="27">
        <v>10000000</v>
      </c>
    </row>
    <row r="22" spans="3:7" x14ac:dyDescent="0.3">
      <c r="C22" t="s">
        <v>685</v>
      </c>
      <c r="F22" s="27">
        <v>2000000</v>
      </c>
    </row>
    <row r="23" spans="3:7" x14ac:dyDescent="0.3">
      <c r="C23" t="s">
        <v>684</v>
      </c>
      <c r="F23" s="27">
        <v>8000000</v>
      </c>
    </row>
    <row r="29" spans="3:7" ht="15" thickBot="1" x14ac:dyDescent="0.35"/>
    <row r="30" spans="3:7" ht="15" thickBot="1" x14ac:dyDescent="0.35">
      <c r="C30" s="182" t="s">
        <v>9</v>
      </c>
      <c r="D30" s="183"/>
      <c r="E30" s="183"/>
      <c r="F30" s="183"/>
      <c r="G30" s="184"/>
    </row>
    <row r="33" spans="3:5" x14ac:dyDescent="0.3">
      <c r="C33" t="s">
        <v>662</v>
      </c>
      <c r="D33" t="s">
        <v>464</v>
      </c>
      <c r="E33" s="145">
        <f>$E$13*$E$14</f>
        <v>50000</v>
      </c>
    </row>
    <row r="34" spans="3:5" x14ac:dyDescent="0.3">
      <c r="D34" t="s">
        <v>772</v>
      </c>
      <c r="E34" s="145">
        <f>$E$15</f>
        <v>30000</v>
      </c>
    </row>
    <row r="35" spans="3:5" x14ac:dyDescent="0.3">
      <c r="D35" t="s">
        <v>771</v>
      </c>
      <c r="E35" s="154">
        <f>E34/E33</f>
        <v>0.6</v>
      </c>
    </row>
    <row r="36" spans="3:5" x14ac:dyDescent="0.3">
      <c r="D36" t="s">
        <v>724</v>
      </c>
      <c r="E36" s="156">
        <f>E35*1000</f>
        <v>600</v>
      </c>
    </row>
    <row r="38" spans="3:5" x14ac:dyDescent="0.3">
      <c r="C38" t="s">
        <v>132</v>
      </c>
      <c r="D38" t="s">
        <v>464</v>
      </c>
      <c r="E38" s="155">
        <f>E33*(1+F13)</f>
        <v>51549.999999999993</v>
      </c>
    </row>
    <row r="39" spans="3:5" x14ac:dyDescent="0.3">
      <c r="D39" t="s">
        <v>772</v>
      </c>
      <c r="E39" s="155">
        <f>E15*(1+F15)</f>
        <v>28800</v>
      </c>
    </row>
    <row r="40" spans="3:5" x14ac:dyDescent="0.3">
      <c r="D40" t="s">
        <v>771</v>
      </c>
      <c r="E40" s="154">
        <f>E39/E38</f>
        <v>0.55868089233753648</v>
      </c>
    </row>
    <row r="41" spans="3:5" x14ac:dyDescent="0.3">
      <c r="D41" t="s">
        <v>724</v>
      </c>
      <c r="E41" s="138">
        <f>E40*1000</f>
        <v>558.68089233753653</v>
      </c>
    </row>
    <row r="42" spans="3:5" x14ac:dyDescent="0.3">
      <c r="D42" t="s">
        <v>513</v>
      </c>
      <c r="E42" s="153">
        <f>E16*(1+F16)</f>
        <v>7920</v>
      </c>
    </row>
    <row r="44" spans="3:5" x14ac:dyDescent="0.3">
      <c r="C44" t="s">
        <v>402</v>
      </c>
      <c r="D44" t="s">
        <v>770</v>
      </c>
      <c r="E44">
        <f>E36*(1+F17)</f>
        <v>632.4</v>
      </c>
    </row>
    <row r="45" spans="3:5" x14ac:dyDescent="0.3">
      <c r="C45" t="s">
        <v>719</v>
      </c>
      <c r="D45" t="s">
        <v>718</v>
      </c>
      <c r="E45" s="152">
        <f>E44-E41</f>
        <v>73.719107662463443</v>
      </c>
    </row>
    <row r="46" spans="3:5" x14ac:dyDescent="0.3">
      <c r="D46" t="s">
        <v>769</v>
      </c>
      <c r="E46" s="145">
        <f>E45*(E38/1000)</f>
        <v>3800.2199999999898</v>
      </c>
    </row>
    <row r="47" spans="3:5" x14ac:dyDescent="0.3">
      <c r="D47" t="s">
        <v>714</v>
      </c>
      <c r="E47" s="27">
        <f>E46*E42</f>
        <v>30097742.39999992</v>
      </c>
    </row>
    <row r="48" spans="3:5" x14ac:dyDescent="0.3">
      <c r="D48" t="s">
        <v>712</v>
      </c>
      <c r="E48" s="27">
        <f>SUM(F20:F23)</f>
        <v>50000000</v>
      </c>
    </row>
    <row r="49" spans="4:5" x14ac:dyDescent="0.3">
      <c r="D49" t="s">
        <v>768</v>
      </c>
      <c r="E49" s="27">
        <f>E47-E48</f>
        <v>-19902257.60000008</v>
      </c>
    </row>
    <row r="51" spans="4:5" x14ac:dyDescent="0.3">
      <c r="D51" t="s">
        <v>711</v>
      </c>
      <c r="E51" s="49">
        <f>E47/E48</f>
        <v>0.60195484799999843</v>
      </c>
    </row>
    <row r="52" spans="4:5" x14ac:dyDescent="0.3">
      <c r="D52" t="s">
        <v>710</v>
      </c>
      <c r="E52" s="70">
        <f>E49/E48</f>
        <v>-0.39804515200000157</v>
      </c>
    </row>
  </sheetData>
  <mergeCells count="2">
    <mergeCell ref="C10:F10"/>
    <mergeCell ref="C30:G30"/>
  </mergeCells>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32A44-E153-410B-9101-64AF34AE4922}">
  <sheetPr>
    <tabColor theme="5" tint="0.39997558519241921"/>
  </sheetPr>
  <dimension ref="A1:O318"/>
  <sheetViews>
    <sheetView workbookViewId="0">
      <pane xSplit="2" ySplit="18" topLeftCell="C19" activePane="bottomRight" state="frozen"/>
      <selection activeCell="L46" sqref="L46"/>
      <selection pane="topRight" activeCell="L46" sqref="L46"/>
      <selection pane="bottomLeft" activeCell="L46" sqref="L46"/>
      <selection pane="bottomRight" activeCell="L46" sqref="L46"/>
    </sheetView>
  </sheetViews>
  <sheetFormatPr defaultRowHeight="14.4" x14ac:dyDescent="0.3"/>
  <cols>
    <col min="4" max="4" width="12.88671875" customWidth="1"/>
    <col min="8" max="9" width="13.88671875" customWidth="1"/>
    <col min="11" max="11" width="16.44140625" customWidth="1"/>
    <col min="12" max="12" width="11" customWidth="1"/>
    <col min="13" max="14" width="9.6640625" customWidth="1"/>
    <col min="15" max="16" width="10.33203125" customWidth="1"/>
    <col min="22" max="22" width="12.109375" customWidth="1"/>
  </cols>
  <sheetData>
    <row r="1" spans="1:15" ht="15" thickBot="1" x14ac:dyDescent="0.35">
      <c r="A1" t="s">
        <v>702</v>
      </c>
      <c r="G1" s="25" t="s">
        <v>40</v>
      </c>
      <c r="H1" s="24"/>
      <c r="K1" s="32"/>
    </row>
    <row r="2" spans="1:15" x14ac:dyDescent="0.3">
      <c r="G2" s="23" t="s">
        <v>39</v>
      </c>
      <c r="H2" s="23"/>
    </row>
    <row r="3" spans="1:15" ht="15" thickBot="1" x14ac:dyDescent="0.35">
      <c r="G3" s="22" t="s">
        <v>38</v>
      </c>
      <c r="H3" s="22"/>
    </row>
    <row r="4" spans="1:15" ht="15.6" thickTop="1" thickBot="1" x14ac:dyDescent="0.35">
      <c r="G4" s="21" t="s">
        <v>37</v>
      </c>
      <c r="H4" s="21"/>
    </row>
    <row r="5" spans="1:15" ht="15" thickTop="1" x14ac:dyDescent="0.3">
      <c r="G5" s="20" t="s">
        <v>36</v>
      </c>
      <c r="H5" s="19"/>
    </row>
    <row r="9" spans="1:15" ht="15" thickBot="1" x14ac:dyDescent="0.35"/>
    <row r="10" spans="1:15" ht="15" thickBot="1" x14ac:dyDescent="0.35">
      <c r="C10" s="182" t="s">
        <v>16</v>
      </c>
      <c r="D10" s="183"/>
      <c r="E10" s="183"/>
      <c r="F10" s="184"/>
    </row>
    <row r="12" spans="1:15" x14ac:dyDescent="0.3">
      <c r="C12">
        <v>0.1</v>
      </c>
      <c r="D12" t="s">
        <v>701</v>
      </c>
    </row>
    <row r="13" spans="1:15" ht="15" thickBot="1" x14ac:dyDescent="0.35"/>
    <row r="14" spans="1:15" ht="15" thickBot="1" x14ac:dyDescent="0.35">
      <c r="C14" s="182" t="s">
        <v>10</v>
      </c>
      <c r="D14" s="183"/>
      <c r="E14" s="183"/>
      <c r="F14" s="183"/>
      <c r="G14" s="183"/>
      <c r="H14" s="183"/>
      <c r="I14" s="184"/>
      <c r="K14" s="182" t="s">
        <v>9</v>
      </c>
      <c r="L14" s="183"/>
      <c r="M14" s="183"/>
      <c r="N14" s="183"/>
      <c r="O14" s="184"/>
    </row>
    <row r="17" spans="3:9" ht="28.95" customHeight="1" x14ac:dyDescent="0.3"/>
    <row r="18" spans="3:9" ht="58.5" customHeight="1" x14ac:dyDescent="0.3">
      <c r="C18" s="137" t="s">
        <v>643</v>
      </c>
      <c r="D18" s="53" t="s">
        <v>700</v>
      </c>
      <c r="E18" s="53" t="s">
        <v>699</v>
      </c>
      <c r="F18" s="53" t="s">
        <v>618</v>
      </c>
      <c r="G18" s="53" t="s">
        <v>617</v>
      </c>
      <c r="H18" s="53" t="s">
        <v>698</v>
      </c>
      <c r="I18" s="53" t="s">
        <v>697</v>
      </c>
    </row>
    <row r="19" spans="3:9" x14ac:dyDescent="0.3">
      <c r="C19" s="117">
        <v>1</v>
      </c>
      <c r="D19" s="136" t="s">
        <v>649</v>
      </c>
      <c r="E19" s="136" t="s">
        <v>200</v>
      </c>
      <c r="F19" s="136">
        <v>66</v>
      </c>
      <c r="G19" s="136" t="s">
        <v>202</v>
      </c>
      <c r="H19" s="136">
        <v>0</v>
      </c>
      <c r="I19" s="136">
        <v>0</v>
      </c>
    </row>
    <row r="20" spans="3:9" x14ac:dyDescent="0.3">
      <c r="C20" s="117">
        <v>2</v>
      </c>
      <c r="D20" s="136" t="s">
        <v>649</v>
      </c>
      <c r="E20" s="136" t="s">
        <v>203</v>
      </c>
      <c r="F20" s="136">
        <v>74</v>
      </c>
      <c r="G20" s="136" t="s">
        <v>195</v>
      </c>
      <c r="H20" s="136">
        <v>0</v>
      </c>
      <c r="I20" s="136">
        <v>0</v>
      </c>
    </row>
    <row r="21" spans="3:9" x14ac:dyDescent="0.3">
      <c r="C21" s="117">
        <v>3</v>
      </c>
      <c r="D21" s="136" t="s">
        <v>649</v>
      </c>
      <c r="E21" s="136" t="s">
        <v>69</v>
      </c>
      <c r="F21" s="136">
        <v>73</v>
      </c>
      <c r="G21" s="136" t="s">
        <v>195</v>
      </c>
      <c r="H21" s="136">
        <v>0</v>
      </c>
      <c r="I21" s="136">
        <v>0</v>
      </c>
    </row>
    <row r="22" spans="3:9" x14ac:dyDescent="0.3">
      <c r="C22" s="117">
        <v>4</v>
      </c>
      <c r="D22" s="136" t="s">
        <v>649</v>
      </c>
      <c r="E22" s="136" t="s">
        <v>70</v>
      </c>
      <c r="F22" s="136">
        <v>78</v>
      </c>
      <c r="G22" s="136" t="s">
        <v>202</v>
      </c>
      <c r="H22" s="136">
        <v>1</v>
      </c>
      <c r="I22" s="136">
        <v>1</v>
      </c>
    </row>
    <row r="23" spans="3:9" x14ac:dyDescent="0.3">
      <c r="C23" s="117">
        <v>5</v>
      </c>
      <c r="D23" s="136" t="s">
        <v>649</v>
      </c>
      <c r="E23" s="136" t="s">
        <v>199</v>
      </c>
      <c r="F23" s="136">
        <v>66</v>
      </c>
      <c r="G23" s="136" t="s">
        <v>195</v>
      </c>
      <c r="H23" s="136">
        <v>0</v>
      </c>
      <c r="I23" s="136">
        <v>1</v>
      </c>
    </row>
    <row r="24" spans="3:9" x14ac:dyDescent="0.3">
      <c r="C24" s="117">
        <v>6</v>
      </c>
      <c r="D24" s="136" t="s">
        <v>649</v>
      </c>
      <c r="E24" s="136" t="s">
        <v>201</v>
      </c>
      <c r="F24" s="136">
        <v>72</v>
      </c>
      <c r="G24" s="136" t="s">
        <v>202</v>
      </c>
      <c r="H24" s="136">
        <v>0</v>
      </c>
      <c r="I24" s="136">
        <v>0</v>
      </c>
    </row>
    <row r="25" spans="3:9" x14ac:dyDescent="0.3">
      <c r="C25" s="117">
        <v>7</v>
      </c>
      <c r="D25" s="136" t="s">
        <v>649</v>
      </c>
      <c r="E25" s="136" t="s">
        <v>203</v>
      </c>
      <c r="F25" s="136">
        <v>74</v>
      </c>
      <c r="G25" s="136" t="s">
        <v>202</v>
      </c>
      <c r="H25" s="136">
        <v>0</v>
      </c>
      <c r="I25" s="136">
        <v>0</v>
      </c>
    </row>
    <row r="26" spans="3:9" x14ac:dyDescent="0.3">
      <c r="C26" s="117">
        <v>8</v>
      </c>
      <c r="D26" s="136" t="s">
        <v>649</v>
      </c>
      <c r="E26" s="136" t="s">
        <v>204</v>
      </c>
      <c r="F26" s="136">
        <v>68</v>
      </c>
      <c r="G26" s="136" t="s">
        <v>195</v>
      </c>
      <c r="H26" s="136">
        <v>0</v>
      </c>
      <c r="I26" s="136">
        <v>0</v>
      </c>
    </row>
    <row r="27" spans="3:9" x14ac:dyDescent="0.3">
      <c r="C27" s="117">
        <v>9</v>
      </c>
      <c r="D27" s="136" t="s">
        <v>649</v>
      </c>
      <c r="E27" s="136" t="s">
        <v>70</v>
      </c>
      <c r="F27" s="136">
        <v>70</v>
      </c>
      <c r="G27" s="136" t="s">
        <v>202</v>
      </c>
      <c r="H27" s="136">
        <v>1</v>
      </c>
      <c r="I27" s="136">
        <v>2</v>
      </c>
    </row>
    <row r="28" spans="3:9" x14ac:dyDescent="0.3">
      <c r="C28" s="117">
        <v>10</v>
      </c>
      <c r="D28" s="136" t="s">
        <v>649</v>
      </c>
      <c r="E28" s="136" t="s">
        <v>203</v>
      </c>
      <c r="F28" s="136">
        <v>66</v>
      </c>
      <c r="G28" s="136" t="s">
        <v>195</v>
      </c>
      <c r="H28" s="136">
        <v>0</v>
      </c>
      <c r="I28" s="136">
        <v>0</v>
      </c>
    </row>
    <row r="29" spans="3:9" x14ac:dyDescent="0.3">
      <c r="C29" s="117">
        <v>11</v>
      </c>
      <c r="D29" s="136" t="s">
        <v>649</v>
      </c>
      <c r="E29" s="136" t="s">
        <v>68</v>
      </c>
      <c r="F29" s="136">
        <v>71</v>
      </c>
      <c r="G29" s="136" t="s">
        <v>195</v>
      </c>
      <c r="H29" s="136">
        <v>0</v>
      </c>
      <c r="I29" s="136">
        <v>0</v>
      </c>
    </row>
    <row r="30" spans="3:9" x14ac:dyDescent="0.3">
      <c r="C30" s="117">
        <v>12</v>
      </c>
      <c r="D30" s="136" t="s">
        <v>649</v>
      </c>
      <c r="E30" s="136" t="s">
        <v>198</v>
      </c>
      <c r="F30" s="136">
        <v>69</v>
      </c>
      <c r="G30" s="136" t="s">
        <v>202</v>
      </c>
      <c r="H30" s="136">
        <v>1</v>
      </c>
      <c r="I30" s="136">
        <v>1</v>
      </c>
    </row>
    <row r="31" spans="3:9" x14ac:dyDescent="0.3">
      <c r="C31" s="117">
        <v>13</v>
      </c>
      <c r="D31" s="136" t="s">
        <v>649</v>
      </c>
      <c r="E31" s="136" t="s">
        <v>69</v>
      </c>
      <c r="F31" s="136">
        <v>68</v>
      </c>
      <c r="G31" s="136" t="s">
        <v>195</v>
      </c>
      <c r="H31" s="136">
        <v>0</v>
      </c>
      <c r="I31" s="136">
        <v>0</v>
      </c>
    </row>
    <row r="32" spans="3:9" x14ac:dyDescent="0.3">
      <c r="C32" s="117">
        <v>14</v>
      </c>
      <c r="D32" s="136" t="s">
        <v>649</v>
      </c>
      <c r="E32" s="136" t="s">
        <v>69</v>
      </c>
      <c r="F32" s="136">
        <v>69</v>
      </c>
      <c r="G32" s="136" t="s">
        <v>202</v>
      </c>
      <c r="H32" s="136">
        <v>2</v>
      </c>
      <c r="I32" s="136">
        <v>3</v>
      </c>
    </row>
    <row r="33" spans="3:9" x14ac:dyDescent="0.3">
      <c r="C33" s="117">
        <v>15</v>
      </c>
      <c r="D33" s="136" t="s">
        <v>649</v>
      </c>
      <c r="E33" s="136" t="s">
        <v>201</v>
      </c>
      <c r="F33" s="136">
        <v>74</v>
      </c>
      <c r="G33" s="136" t="s">
        <v>202</v>
      </c>
      <c r="H33" s="136">
        <v>1</v>
      </c>
      <c r="I33" s="136">
        <v>0</v>
      </c>
    </row>
    <row r="34" spans="3:9" x14ac:dyDescent="0.3">
      <c r="C34" s="117">
        <v>16</v>
      </c>
      <c r="D34" s="136" t="s">
        <v>649</v>
      </c>
      <c r="E34" s="136" t="s">
        <v>202</v>
      </c>
      <c r="F34" s="136">
        <v>79</v>
      </c>
      <c r="G34" s="136" t="s">
        <v>195</v>
      </c>
      <c r="H34" s="136">
        <v>0</v>
      </c>
      <c r="I34" s="136">
        <v>0</v>
      </c>
    </row>
    <row r="35" spans="3:9" x14ac:dyDescent="0.3">
      <c r="C35" s="117">
        <v>17</v>
      </c>
      <c r="D35" s="136" t="s">
        <v>649</v>
      </c>
      <c r="E35" s="136" t="s">
        <v>201</v>
      </c>
      <c r="F35" s="136">
        <v>78</v>
      </c>
      <c r="G35" s="136" t="s">
        <v>202</v>
      </c>
      <c r="H35" s="136">
        <v>1</v>
      </c>
      <c r="I35" s="136">
        <v>1</v>
      </c>
    </row>
    <row r="36" spans="3:9" x14ac:dyDescent="0.3">
      <c r="C36" s="117">
        <v>18</v>
      </c>
      <c r="D36" s="136" t="s">
        <v>649</v>
      </c>
      <c r="E36" s="136" t="s">
        <v>202</v>
      </c>
      <c r="F36" s="136">
        <v>71</v>
      </c>
      <c r="G36" s="136" t="s">
        <v>195</v>
      </c>
      <c r="H36" s="136">
        <v>0</v>
      </c>
      <c r="I36" s="136">
        <v>0</v>
      </c>
    </row>
    <row r="37" spans="3:9" x14ac:dyDescent="0.3">
      <c r="C37" s="117">
        <v>19</v>
      </c>
      <c r="D37" s="136" t="s">
        <v>649</v>
      </c>
      <c r="E37" s="136" t="s">
        <v>198</v>
      </c>
      <c r="F37" s="136">
        <v>70</v>
      </c>
      <c r="G37" s="136" t="s">
        <v>195</v>
      </c>
      <c r="H37" s="136">
        <v>0</v>
      </c>
      <c r="I37" s="136">
        <v>0</v>
      </c>
    </row>
    <row r="38" spans="3:9" x14ac:dyDescent="0.3">
      <c r="C38" s="117">
        <v>20</v>
      </c>
      <c r="D38" s="136" t="s">
        <v>649</v>
      </c>
      <c r="E38" s="136" t="s">
        <v>70</v>
      </c>
      <c r="F38" s="136">
        <v>67</v>
      </c>
      <c r="G38" s="136" t="s">
        <v>195</v>
      </c>
      <c r="H38" s="136">
        <v>0</v>
      </c>
      <c r="I38" s="136">
        <v>1</v>
      </c>
    </row>
    <row r="39" spans="3:9" x14ac:dyDescent="0.3">
      <c r="C39" s="117">
        <v>21</v>
      </c>
      <c r="D39" s="136" t="s">
        <v>649</v>
      </c>
      <c r="E39" s="136" t="s">
        <v>68</v>
      </c>
      <c r="F39" s="136">
        <v>75</v>
      </c>
      <c r="G39" s="136" t="s">
        <v>195</v>
      </c>
      <c r="H39" s="136">
        <v>1</v>
      </c>
      <c r="I39" s="136">
        <v>0</v>
      </c>
    </row>
    <row r="40" spans="3:9" x14ac:dyDescent="0.3">
      <c r="C40" s="117">
        <v>22</v>
      </c>
      <c r="D40" s="136" t="s">
        <v>649</v>
      </c>
      <c r="E40" s="136" t="s">
        <v>70</v>
      </c>
      <c r="F40" s="136">
        <v>76</v>
      </c>
      <c r="G40" s="136" t="s">
        <v>202</v>
      </c>
      <c r="H40" s="136">
        <v>0</v>
      </c>
      <c r="I40" s="136">
        <v>0</v>
      </c>
    </row>
    <row r="41" spans="3:9" x14ac:dyDescent="0.3">
      <c r="C41" s="117">
        <v>23</v>
      </c>
      <c r="D41" s="136" t="s">
        <v>649</v>
      </c>
      <c r="E41" s="136" t="s">
        <v>69</v>
      </c>
      <c r="F41" s="136">
        <v>74</v>
      </c>
      <c r="G41" s="136" t="s">
        <v>202</v>
      </c>
      <c r="H41" s="136">
        <v>1</v>
      </c>
      <c r="I41" s="136">
        <v>1</v>
      </c>
    </row>
    <row r="42" spans="3:9" x14ac:dyDescent="0.3">
      <c r="C42" s="117">
        <v>24</v>
      </c>
      <c r="D42" s="136" t="s">
        <v>649</v>
      </c>
      <c r="E42" s="136" t="s">
        <v>68</v>
      </c>
      <c r="F42" s="136">
        <v>73</v>
      </c>
      <c r="G42" s="136" t="s">
        <v>195</v>
      </c>
      <c r="H42" s="136">
        <v>1</v>
      </c>
      <c r="I42" s="136">
        <v>1</v>
      </c>
    </row>
    <row r="43" spans="3:9" x14ac:dyDescent="0.3">
      <c r="C43" s="117">
        <v>25</v>
      </c>
      <c r="D43" s="136" t="s">
        <v>649</v>
      </c>
      <c r="E43" s="136" t="s">
        <v>200</v>
      </c>
      <c r="F43" s="136">
        <v>77</v>
      </c>
      <c r="G43" s="136" t="s">
        <v>195</v>
      </c>
      <c r="H43" s="136">
        <v>0</v>
      </c>
      <c r="I43" s="136">
        <v>2</v>
      </c>
    </row>
    <row r="44" spans="3:9" x14ac:dyDescent="0.3">
      <c r="C44" s="117">
        <v>26</v>
      </c>
      <c r="D44" s="136" t="s">
        <v>649</v>
      </c>
      <c r="E44" s="136" t="s">
        <v>201</v>
      </c>
      <c r="F44" s="136">
        <v>69</v>
      </c>
      <c r="G44" s="136" t="s">
        <v>202</v>
      </c>
      <c r="H44" s="136">
        <v>0</v>
      </c>
      <c r="I44" s="136">
        <v>0</v>
      </c>
    </row>
    <row r="45" spans="3:9" x14ac:dyDescent="0.3">
      <c r="C45" s="117">
        <v>27</v>
      </c>
      <c r="D45" s="136" t="s">
        <v>649</v>
      </c>
      <c r="E45" s="136" t="s">
        <v>70</v>
      </c>
      <c r="F45" s="136">
        <v>66</v>
      </c>
      <c r="G45" s="136" t="s">
        <v>195</v>
      </c>
      <c r="H45" s="136">
        <v>0</v>
      </c>
      <c r="I45" s="136">
        <v>0</v>
      </c>
    </row>
    <row r="46" spans="3:9" x14ac:dyDescent="0.3">
      <c r="C46" s="117">
        <v>28</v>
      </c>
      <c r="D46" s="136" t="s">
        <v>649</v>
      </c>
      <c r="E46" s="136" t="s">
        <v>198</v>
      </c>
      <c r="F46" s="136">
        <v>72</v>
      </c>
      <c r="G46" s="136" t="s">
        <v>195</v>
      </c>
      <c r="H46" s="136">
        <v>0</v>
      </c>
      <c r="I46" s="136">
        <v>0</v>
      </c>
    </row>
    <row r="47" spans="3:9" x14ac:dyDescent="0.3">
      <c r="C47" s="117">
        <v>29</v>
      </c>
      <c r="D47" s="136" t="s">
        <v>649</v>
      </c>
      <c r="E47" s="136" t="s">
        <v>200</v>
      </c>
      <c r="F47" s="136">
        <v>79</v>
      </c>
      <c r="G47" s="136" t="s">
        <v>202</v>
      </c>
      <c r="H47" s="136">
        <v>2</v>
      </c>
      <c r="I47" s="136">
        <v>2</v>
      </c>
    </row>
    <row r="48" spans="3:9" x14ac:dyDescent="0.3">
      <c r="C48" s="117">
        <v>30</v>
      </c>
      <c r="D48" s="136" t="s">
        <v>649</v>
      </c>
      <c r="E48" s="136" t="s">
        <v>202</v>
      </c>
      <c r="F48" s="136">
        <v>69</v>
      </c>
      <c r="G48" s="136" t="s">
        <v>202</v>
      </c>
      <c r="H48" s="136">
        <v>0</v>
      </c>
      <c r="I48" s="136">
        <v>0</v>
      </c>
    </row>
    <row r="49" spans="3:9" x14ac:dyDescent="0.3">
      <c r="C49" s="117">
        <v>31</v>
      </c>
      <c r="D49" s="136" t="s">
        <v>649</v>
      </c>
      <c r="E49" s="136" t="s">
        <v>68</v>
      </c>
      <c r="F49" s="136">
        <v>75</v>
      </c>
      <c r="G49" s="136" t="s">
        <v>202</v>
      </c>
      <c r="H49" s="136">
        <v>0</v>
      </c>
      <c r="I49" s="136">
        <v>0</v>
      </c>
    </row>
    <row r="50" spans="3:9" x14ac:dyDescent="0.3">
      <c r="C50" s="117">
        <v>32</v>
      </c>
      <c r="D50" s="136" t="s">
        <v>649</v>
      </c>
      <c r="E50" s="136" t="s">
        <v>68</v>
      </c>
      <c r="F50" s="136">
        <v>77</v>
      </c>
      <c r="G50" s="136" t="s">
        <v>195</v>
      </c>
      <c r="H50" s="136">
        <v>0</v>
      </c>
      <c r="I50" s="136">
        <v>0</v>
      </c>
    </row>
    <row r="51" spans="3:9" x14ac:dyDescent="0.3">
      <c r="C51" s="117">
        <v>33</v>
      </c>
      <c r="D51" s="136" t="s">
        <v>649</v>
      </c>
      <c r="E51" s="136" t="s">
        <v>68</v>
      </c>
      <c r="F51" s="136">
        <v>66</v>
      </c>
      <c r="G51" s="136" t="s">
        <v>195</v>
      </c>
      <c r="H51" s="136">
        <v>0</v>
      </c>
      <c r="I51" s="136">
        <v>0</v>
      </c>
    </row>
    <row r="52" spans="3:9" x14ac:dyDescent="0.3">
      <c r="C52" s="117">
        <v>34</v>
      </c>
      <c r="D52" s="136" t="s">
        <v>649</v>
      </c>
      <c r="E52" s="136" t="s">
        <v>201</v>
      </c>
      <c r="F52" s="136">
        <v>76</v>
      </c>
      <c r="G52" s="136" t="s">
        <v>202</v>
      </c>
      <c r="H52" s="136">
        <v>2</v>
      </c>
      <c r="I52" s="136">
        <v>4</v>
      </c>
    </row>
    <row r="53" spans="3:9" x14ac:dyDescent="0.3">
      <c r="C53" s="117">
        <v>35</v>
      </c>
      <c r="D53" s="136" t="s">
        <v>649</v>
      </c>
      <c r="E53" s="136" t="s">
        <v>199</v>
      </c>
      <c r="F53" s="136">
        <v>72</v>
      </c>
      <c r="G53" s="136" t="s">
        <v>202</v>
      </c>
      <c r="H53" s="136">
        <v>2</v>
      </c>
      <c r="I53" s="136">
        <v>2</v>
      </c>
    </row>
    <row r="54" spans="3:9" x14ac:dyDescent="0.3">
      <c r="C54" s="117">
        <v>36</v>
      </c>
      <c r="D54" s="136" t="s">
        <v>649</v>
      </c>
      <c r="E54" s="136" t="s">
        <v>204</v>
      </c>
      <c r="F54" s="136">
        <v>74</v>
      </c>
      <c r="G54" s="136" t="s">
        <v>202</v>
      </c>
      <c r="H54" s="136">
        <v>0</v>
      </c>
      <c r="I54" s="136">
        <v>0</v>
      </c>
    </row>
    <row r="55" spans="3:9" x14ac:dyDescent="0.3">
      <c r="C55" s="117">
        <v>37</v>
      </c>
      <c r="D55" s="136" t="s">
        <v>649</v>
      </c>
      <c r="E55" s="136" t="s">
        <v>201</v>
      </c>
      <c r="F55" s="136">
        <v>79</v>
      </c>
      <c r="G55" s="136" t="s">
        <v>202</v>
      </c>
      <c r="H55" s="136">
        <v>1</v>
      </c>
      <c r="I55" s="136">
        <v>1</v>
      </c>
    </row>
    <row r="56" spans="3:9" x14ac:dyDescent="0.3">
      <c r="C56" s="117">
        <v>38</v>
      </c>
      <c r="D56" s="136" t="s">
        <v>649</v>
      </c>
      <c r="E56" s="136" t="s">
        <v>200</v>
      </c>
      <c r="F56" s="136">
        <v>65</v>
      </c>
      <c r="G56" s="136" t="s">
        <v>195</v>
      </c>
      <c r="H56" s="136">
        <v>0</v>
      </c>
      <c r="I56" s="136">
        <v>0</v>
      </c>
    </row>
    <row r="57" spans="3:9" x14ac:dyDescent="0.3">
      <c r="C57" s="117">
        <v>39</v>
      </c>
      <c r="D57" s="136" t="s">
        <v>649</v>
      </c>
      <c r="E57" s="136" t="s">
        <v>200</v>
      </c>
      <c r="F57" s="136">
        <v>75</v>
      </c>
      <c r="G57" s="136" t="s">
        <v>195</v>
      </c>
      <c r="H57" s="136">
        <v>0</v>
      </c>
      <c r="I57" s="136">
        <v>0</v>
      </c>
    </row>
    <row r="58" spans="3:9" x14ac:dyDescent="0.3">
      <c r="C58" s="117">
        <v>40</v>
      </c>
      <c r="D58" s="136" t="s">
        <v>649</v>
      </c>
      <c r="E58" s="136" t="s">
        <v>201</v>
      </c>
      <c r="F58" s="136">
        <v>73</v>
      </c>
      <c r="G58" s="136" t="s">
        <v>202</v>
      </c>
      <c r="H58" s="136">
        <v>2</v>
      </c>
      <c r="I58" s="136">
        <v>3</v>
      </c>
    </row>
    <row r="59" spans="3:9" x14ac:dyDescent="0.3">
      <c r="C59" s="117">
        <v>41</v>
      </c>
      <c r="D59" s="136" t="s">
        <v>649</v>
      </c>
      <c r="E59" s="136" t="s">
        <v>199</v>
      </c>
      <c r="F59" s="136">
        <v>79</v>
      </c>
      <c r="G59" s="136" t="s">
        <v>202</v>
      </c>
      <c r="H59" s="136">
        <v>0</v>
      </c>
      <c r="I59" s="136">
        <v>0</v>
      </c>
    </row>
    <row r="60" spans="3:9" x14ac:dyDescent="0.3">
      <c r="C60" s="117">
        <v>42</v>
      </c>
      <c r="D60" s="136" t="s">
        <v>649</v>
      </c>
      <c r="E60" s="136" t="s">
        <v>200</v>
      </c>
      <c r="F60" s="136">
        <v>74</v>
      </c>
      <c r="G60" s="136" t="s">
        <v>195</v>
      </c>
      <c r="H60" s="136">
        <v>0</v>
      </c>
      <c r="I60" s="136">
        <v>0</v>
      </c>
    </row>
    <row r="61" spans="3:9" x14ac:dyDescent="0.3">
      <c r="C61" s="117">
        <v>43</v>
      </c>
      <c r="D61" s="136" t="s">
        <v>649</v>
      </c>
      <c r="E61" s="136" t="s">
        <v>204</v>
      </c>
      <c r="F61" s="136">
        <v>75</v>
      </c>
      <c r="G61" s="136" t="s">
        <v>195</v>
      </c>
      <c r="H61" s="136">
        <v>1</v>
      </c>
      <c r="I61" s="136">
        <v>1</v>
      </c>
    </row>
    <row r="62" spans="3:9" x14ac:dyDescent="0.3">
      <c r="C62" s="117">
        <v>44</v>
      </c>
      <c r="D62" s="136" t="s">
        <v>649</v>
      </c>
      <c r="E62" s="136" t="s">
        <v>198</v>
      </c>
      <c r="F62" s="136">
        <v>77</v>
      </c>
      <c r="G62" s="136" t="s">
        <v>202</v>
      </c>
      <c r="H62" s="136">
        <v>1</v>
      </c>
      <c r="I62" s="136">
        <v>2</v>
      </c>
    </row>
    <row r="63" spans="3:9" x14ac:dyDescent="0.3">
      <c r="C63" s="117">
        <v>45</v>
      </c>
      <c r="D63" s="136" t="s">
        <v>649</v>
      </c>
      <c r="E63" s="136" t="s">
        <v>203</v>
      </c>
      <c r="F63" s="136">
        <v>79</v>
      </c>
      <c r="G63" s="136" t="s">
        <v>195</v>
      </c>
      <c r="H63" s="136">
        <v>1</v>
      </c>
      <c r="I63" s="136">
        <v>1</v>
      </c>
    </row>
    <row r="64" spans="3:9" x14ac:dyDescent="0.3">
      <c r="C64" s="117">
        <v>46</v>
      </c>
      <c r="D64" s="136" t="s">
        <v>649</v>
      </c>
      <c r="E64" s="136" t="s">
        <v>202</v>
      </c>
      <c r="F64" s="136">
        <v>66</v>
      </c>
      <c r="G64" s="136" t="s">
        <v>195</v>
      </c>
      <c r="H64" s="136">
        <v>0</v>
      </c>
      <c r="I64" s="136">
        <v>0</v>
      </c>
    </row>
    <row r="65" spans="3:15" x14ac:dyDescent="0.3">
      <c r="C65" s="117">
        <v>47</v>
      </c>
      <c r="D65" s="136" t="s">
        <v>649</v>
      </c>
      <c r="E65" s="136" t="s">
        <v>198</v>
      </c>
      <c r="F65" s="136">
        <v>68</v>
      </c>
      <c r="G65" s="136" t="s">
        <v>195</v>
      </c>
      <c r="H65" s="136">
        <v>0</v>
      </c>
      <c r="I65" s="136">
        <v>0</v>
      </c>
    </row>
    <row r="66" spans="3:15" x14ac:dyDescent="0.3">
      <c r="C66" s="117">
        <v>48</v>
      </c>
      <c r="D66" s="136" t="s">
        <v>649</v>
      </c>
      <c r="E66" s="136" t="s">
        <v>68</v>
      </c>
      <c r="F66" s="136">
        <v>79</v>
      </c>
      <c r="G66" s="136" t="s">
        <v>195</v>
      </c>
      <c r="H66" s="136">
        <v>0</v>
      </c>
      <c r="I66" s="136">
        <v>0</v>
      </c>
    </row>
    <row r="67" spans="3:15" x14ac:dyDescent="0.3">
      <c r="C67" s="117">
        <v>49</v>
      </c>
      <c r="D67" s="136" t="s">
        <v>649</v>
      </c>
      <c r="E67" s="136" t="s">
        <v>202</v>
      </c>
      <c r="F67" s="136">
        <v>73</v>
      </c>
      <c r="G67" s="136" t="s">
        <v>195</v>
      </c>
      <c r="H67" s="136">
        <v>2</v>
      </c>
      <c r="I67" s="136">
        <v>2</v>
      </c>
    </row>
    <row r="68" spans="3:15" x14ac:dyDescent="0.3">
      <c r="C68" s="117">
        <v>50</v>
      </c>
      <c r="D68" s="136" t="s">
        <v>649</v>
      </c>
      <c r="E68" s="136" t="s">
        <v>203</v>
      </c>
      <c r="F68" s="136">
        <v>77</v>
      </c>
      <c r="G68" s="136" t="s">
        <v>195</v>
      </c>
      <c r="H68" s="136">
        <v>0</v>
      </c>
      <c r="I68" s="136">
        <v>0</v>
      </c>
    </row>
    <row r="69" spans="3:15" x14ac:dyDescent="0.3">
      <c r="C69" s="117">
        <v>51</v>
      </c>
      <c r="D69" s="136" t="s">
        <v>650</v>
      </c>
      <c r="E69" s="136" t="s">
        <v>70</v>
      </c>
      <c r="F69" s="136">
        <v>79</v>
      </c>
      <c r="G69" s="136" t="s">
        <v>202</v>
      </c>
      <c r="H69" s="136">
        <v>1</v>
      </c>
      <c r="I69" s="136">
        <v>1</v>
      </c>
    </row>
    <row r="70" spans="3:15" x14ac:dyDescent="0.3">
      <c r="C70" s="117">
        <v>52</v>
      </c>
      <c r="D70" s="136" t="s">
        <v>650</v>
      </c>
      <c r="E70" s="136" t="s">
        <v>68</v>
      </c>
      <c r="F70" s="136">
        <v>70</v>
      </c>
      <c r="G70" s="136" t="s">
        <v>202</v>
      </c>
      <c r="H70" s="136">
        <v>0</v>
      </c>
      <c r="I70" s="136">
        <v>0</v>
      </c>
      <c r="K70" s="90"/>
      <c r="L70" s="90"/>
      <c r="M70" s="90"/>
      <c r="N70" s="90"/>
      <c r="O70" s="90"/>
    </row>
    <row r="71" spans="3:15" x14ac:dyDescent="0.3">
      <c r="C71" s="117">
        <v>53</v>
      </c>
      <c r="D71" s="136" t="s">
        <v>650</v>
      </c>
      <c r="E71" s="136" t="s">
        <v>198</v>
      </c>
      <c r="F71" s="136">
        <v>70</v>
      </c>
      <c r="G71" s="136" t="s">
        <v>195</v>
      </c>
      <c r="H71" s="136">
        <v>1</v>
      </c>
      <c r="I71" s="136">
        <v>1</v>
      </c>
      <c r="K71" s="90"/>
      <c r="L71" s="90"/>
      <c r="M71" s="90"/>
      <c r="N71" s="90"/>
      <c r="O71" s="90"/>
    </row>
    <row r="72" spans="3:15" x14ac:dyDescent="0.3">
      <c r="C72" s="117">
        <v>54</v>
      </c>
      <c r="D72" s="136" t="s">
        <v>650</v>
      </c>
      <c r="E72" s="136" t="s">
        <v>200</v>
      </c>
      <c r="F72" s="136">
        <v>79</v>
      </c>
      <c r="G72" s="136" t="s">
        <v>202</v>
      </c>
      <c r="H72" s="136">
        <v>0</v>
      </c>
      <c r="I72" s="136">
        <v>0</v>
      </c>
      <c r="K72" s="90"/>
      <c r="L72" s="90"/>
      <c r="M72" s="90"/>
      <c r="N72" s="90"/>
      <c r="O72" s="90"/>
    </row>
    <row r="73" spans="3:15" x14ac:dyDescent="0.3">
      <c r="C73" s="117">
        <v>55</v>
      </c>
      <c r="D73" s="136" t="s">
        <v>650</v>
      </c>
      <c r="E73" s="136" t="s">
        <v>199</v>
      </c>
      <c r="F73" s="136">
        <v>77</v>
      </c>
      <c r="G73" s="136" t="s">
        <v>202</v>
      </c>
      <c r="H73" s="136">
        <v>0</v>
      </c>
      <c r="I73" s="136">
        <v>2</v>
      </c>
      <c r="K73" s="90"/>
      <c r="L73" s="90"/>
      <c r="M73" s="90"/>
      <c r="N73" s="90"/>
      <c r="O73" s="90"/>
    </row>
    <row r="74" spans="3:15" x14ac:dyDescent="0.3">
      <c r="C74" s="117">
        <v>56</v>
      </c>
      <c r="D74" s="136" t="s">
        <v>650</v>
      </c>
      <c r="E74" s="136" t="s">
        <v>201</v>
      </c>
      <c r="F74" s="136">
        <v>68</v>
      </c>
      <c r="G74" s="136" t="s">
        <v>202</v>
      </c>
      <c r="H74" s="136">
        <v>1</v>
      </c>
      <c r="I74" s="136">
        <v>1</v>
      </c>
      <c r="K74" s="90"/>
      <c r="L74" s="90"/>
      <c r="M74" s="90"/>
      <c r="N74" s="90"/>
      <c r="O74" s="90"/>
    </row>
    <row r="75" spans="3:15" x14ac:dyDescent="0.3">
      <c r="C75" s="117">
        <v>57</v>
      </c>
      <c r="D75" s="136" t="s">
        <v>650</v>
      </c>
      <c r="E75" s="136" t="s">
        <v>201</v>
      </c>
      <c r="F75" s="136">
        <v>66</v>
      </c>
      <c r="G75" s="136" t="s">
        <v>195</v>
      </c>
      <c r="H75" s="136">
        <v>0</v>
      </c>
      <c r="I75" s="136">
        <v>1</v>
      </c>
      <c r="K75" s="90"/>
      <c r="L75" s="90"/>
      <c r="M75" s="90"/>
      <c r="N75" s="90"/>
      <c r="O75" s="90"/>
    </row>
    <row r="76" spans="3:15" x14ac:dyDescent="0.3">
      <c r="C76" s="117">
        <v>58</v>
      </c>
      <c r="D76" s="136" t="s">
        <v>650</v>
      </c>
      <c r="E76" s="136" t="s">
        <v>204</v>
      </c>
      <c r="F76" s="136">
        <v>65</v>
      </c>
      <c r="G76" s="136" t="s">
        <v>202</v>
      </c>
      <c r="H76" s="136">
        <v>1</v>
      </c>
      <c r="I76" s="136">
        <v>1</v>
      </c>
      <c r="K76" s="90"/>
      <c r="L76" s="90"/>
      <c r="M76" s="90"/>
      <c r="N76" s="90"/>
      <c r="O76" s="90"/>
    </row>
    <row r="77" spans="3:15" x14ac:dyDescent="0.3">
      <c r="C77" s="117">
        <v>59</v>
      </c>
      <c r="D77" s="136" t="s">
        <v>650</v>
      </c>
      <c r="E77" s="136" t="s">
        <v>203</v>
      </c>
      <c r="F77" s="136">
        <v>67</v>
      </c>
      <c r="G77" s="136" t="s">
        <v>195</v>
      </c>
      <c r="H77" s="136">
        <v>1</v>
      </c>
      <c r="I77" s="136">
        <v>1</v>
      </c>
      <c r="K77" s="90"/>
      <c r="L77" s="90"/>
      <c r="M77" s="90"/>
      <c r="N77" s="90"/>
      <c r="O77" s="90"/>
    </row>
    <row r="78" spans="3:15" x14ac:dyDescent="0.3">
      <c r="C78" s="117">
        <v>60</v>
      </c>
      <c r="D78" s="136" t="s">
        <v>650</v>
      </c>
      <c r="E78" s="136" t="s">
        <v>68</v>
      </c>
      <c r="F78" s="136">
        <v>77</v>
      </c>
      <c r="G78" s="136" t="s">
        <v>202</v>
      </c>
      <c r="H78" s="136">
        <v>0</v>
      </c>
      <c r="I78" s="136">
        <v>0</v>
      </c>
      <c r="K78" s="90"/>
      <c r="L78" s="90"/>
      <c r="M78" s="90"/>
      <c r="N78" s="90"/>
      <c r="O78" s="90"/>
    </row>
    <row r="79" spans="3:15" x14ac:dyDescent="0.3">
      <c r="C79" s="117">
        <v>61</v>
      </c>
      <c r="D79" s="136" t="s">
        <v>650</v>
      </c>
      <c r="E79" s="136" t="s">
        <v>203</v>
      </c>
      <c r="F79" s="136">
        <v>71</v>
      </c>
      <c r="G79" s="136" t="s">
        <v>195</v>
      </c>
      <c r="H79" s="136">
        <v>0</v>
      </c>
      <c r="I79" s="136">
        <v>0</v>
      </c>
      <c r="K79" s="90"/>
      <c r="L79" s="90"/>
      <c r="M79" s="90"/>
      <c r="N79" s="90"/>
      <c r="O79" s="90"/>
    </row>
    <row r="80" spans="3:15" x14ac:dyDescent="0.3">
      <c r="C80" s="117">
        <v>62</v>
      </c>
      <c r="D80" s="136" t="s">
        <v>650</v>
      </c>
      <c r="E80" s="136" t="s">
        <v>203</v>
      </c>
      <c r="F80" s="136">
        <v>73</v>
      </c>
      <c r="G80" s="136" t="s">
        <v>202</v>
      </c>
      <c r="H80" s="136">
        <v>0</v>
      </c>
      <c r="I80" s="136">
        <v>0</v>
      </c>
      <c r="K80" s="90"/>
      <c r="L80" s="90"/>
      <c r="M80" s="90"/>
      <c r="N80" s="90"/>
      <c r="O80" s="90"/>
    </row>
    <row r="81" spans="3:15" x14ac:dyDescent="0.3">
      <c r="C81" s="117">
        <v>63</v>
      </c>
      <c r="D81" s="136" t="s">
        <v>650</v>
      </c>
      <c r="E81" s="136" t="s">
        <v>204</v>
      </c>
      <c r="F81" s="136">
        <v>78</v>
      </c>
      <c r="G81" s="136" t="s">
        <v>195</v>
      </c>
      <c r="H81" s="136">
        <v>0</v>
      </c>
      <c r="I81" s="136">
        <v>0</v>
      </c>
      <c r="K81" s="90"/>
      <c r="L81" s="90"/>
      <c r="M81" s="90"/>
      <c r="N81" s="90"/>
      <c r="O81" s="90"/>
    </row>
    <row r="82" spans="3:15" x14ac:dyDescent="0.3">
      <c r="C82" s="117">
        <v>64</v>
      </c>
      <c r="D82" s="136" t="s">
        <v>650</v>
      </c>
      <c r="E82" s="136" t="s">
        <v>204</v>
      </c>
      <c r="F82" s="136">
        <v>79</v>
      </c>
      <c r="G82" s="136" t="s">
        <v>202</v>
      </c>
      <c r="H82" s="136">
        <v>0</v>
      </c>
      <c r="I82" s="136">
        <v>1</v>
      </c>
      <c r="K82" s="90"/>
      <c r="L82" s="90"/>
      <c r="M82" s="90"/>
      <c r="N82" s="90"/>
      <c r="O82" s="90"/>
    </row>
    <row r="83" spans="3:15" x14ac:dyDescent="0.3">
      <c r="C83" s="117">
        <v>65</v>
      </c>
      <c r="D83" s="136" t="s">
        <v>650</v>
      </c>
      <c r="E83" s="136" t="s">
        <v>202</v>
      </c>
      <c r="F83" s="136">
        <v>79</v>
      </c>
      <c r="G83" s="136" t="s">
        <v>195</v>
      </c>
      <c r="H83" s="136">
        <v>1</v>
      </c>
      <c r="I83" s="136">
        <v>2</v>
      </c>
      <c r="K83" s="90"/>
      <c r="L83" s="90"/>
      <c r="M83" s="90"/>
      <c r="N83" s="90"/>
      <c r="O83" s="90"/>
    </row>
    <row r="84" spans="3:15" x14ac:dyDescent="0.3">
      <c r="C84" s="117">
        <v>66</v>
      </c>
      <c r="D84" s="136" t="s">
        <v>650</v>
      </c>
      <c r="E84" s="136" t="s">
        <v>201</v>
      </c>
      <c r="F84" s="136">
        <v>68</v>
      </c>
      <c r="G84" s="136" t="s">
        <v>202</v>
      </c>
      <c r="H84" s="136">
        <v>2</v>
      </c>
      <c r="I84" s="136">
        <v>2</v>
      </c>
      <c r="K84" s="90"/>
      <c r="L84" s="90"/>
      <c r="M84" s="90"/>
      <c r="N84" s="90"/>
      <c r="O84" s="90"/>
    </row>
    <row r="85" spans="3:15" x14ac:dyDescent="0.3">
      <c r="C85" s="117">
        <v>67</v>
      </c>
      <c r="D85" s="136" t="s">
        <v>650</v>
      </c>
      <c r="E85" s="136" t="s">
        <v>200</v>
      </c>
      <c r="F85" s="136">
        <v>73</v>
      </c>
      <c r="G85" s="136" t="s">
        <v>202</v>
      </c>
      <c r="H85" s="136">
        <v>0</v>
      </c>
      <c r="I85" s="136">
        <v>0</v>
      </c>
      <c r="K85" s="90"/>
      <c r="L85" s="90"/>
      <c r="M85" s="90"/>
      <c r="N85" s="90"/>
      <c r="O85" s="90"/>
    </row>
    <row r="86" spans="3:15" x14ac:dyDescent="0.3">
      <c r="C86" s="117">
        <v>68</v>
      </c>
      <c r="D86" s="136" t="s">
        <v>650</v>
      </c>
      <c r="E86" s="136" t="s">
        <v>203</v>
      </c>
      <c r="F86" s="136">
        <v>76</v>
      </c>
      <c r="G86" s="136" t="s">
        <v>195</v>
      </c>
      <c r="H86" s="136">
        <v>1</v>
      </c>
      <c r="I86" s="136">
        <v>1</v>
      </c>
      <c r="K86" s="90"/>
      <c r="L86" s="90"/>
      <c r="M86" s="90"/>
      <c r="N86" s="90"/>
      <c r="O86" s="90"/>
    </row>
    <row r="87" spans="3:15" x14ac:dyDescent="0.3">
      <c r="C87" s="117">
        <v>69</v>
      </c>
      <c r="D87" s="136" t="s">
        <v>650</v>
      </c>
      <c r="E87" s="136" t="s">
        <v>68</v>
      </c>
      <c r="F87" s="136">
        <v>66</v>
      </c>
      <c r="G87" s="136" t="s">
        <v>195</v>
      </c>
      <c r="H87" s="136">
        <v>1</v>
      </c>
      <c r="I87" s="136">
        <v>1</v>
      </c>
      <c r="K87" s="90"/>
      <c r="L87" s="90"/>
      <c r="M87" s="90"/>
      <c r="N87" s="90"/>
      <c r="O87" s="90"/>
    </row>
    <row r="88" spans="3:15" x14ac:dyDescent="0.3">
      <c r="C88" s="117">
        <v>70</v>
      </c>
      <c r="D88" s="136" t="s">
        <v>650</v>
      </c>
      <c r="E88" s="136" t="s">
        <v>200</v>
      </c>
      <c r="F88" s="136">
        <v>76</v>
      </c>
      <c r="G88" s="136" t="s">
        <v>195</v>
      </c>
      <c r="H88" s="136">
        <v>1</v>
      </c>
      <c r="I88" s="136">
        <v>1</v>
      </c>
      <c r="K88" s="90"/>
      <c r="L88" s="90"/>
      <c r="M88" s="90"/>
      <c r="N88" s="90"/>
      <c r="O88" s="90"/>
    </row>
    <row r="89" spans="3:15" x14ac:dyDescent="0.3">
      <c r="C89" s="117">
        <v>71</v>
      </c>
      <c r="D89" s="136" t="s">
        <v>650</v>
      </c>
      <c r="E89" s="136" t="s">
        <v>203</v>
      </c>
      <c r="F89" s="136">
        <v>74</v>
      </c>
      <c r="G89" s="136" t="s">
        <v>195</v>
      </c>
      <c r="H89" s="136">
        <v>0</v>
      </c>
      <c r="I89" s="136">
        <v>0</v>
      </c>
      <c r="K89" s="90"/>
      <c r="L89" s="90"/>
      <c r="M89" s="90"/>
      <c r="N89" s="90"/>
      <c r="O89" s="90"/>
    </row>
    <row r="90" spans="3:15" x14ac:dyDescent="0.3">
      <c r="C90" s="117">
        <v>72</v>
      </c>
      <c r="D90" s="136" t="s">
        <v>650</v>
      </c>
      <c r="E90" s="136" t="s">
        <v>201</v>
      </c>
      <c r="F90" s="136">
        <v>74</v>
      </c>
      <c r="G90" s="136" t="s">
        <v>195</v>
      </c>
      <c r="H90" s="136">
        <v>0</v>
      </c>
      <c r="I90" s="136">
        <v>0</v>
      </c>
      <c r="K90" s="90"/>
      <c r="L90" s="90"/>
      <c r="M90" s="90"/>
      <c r="N90" s="90"/>
      <c r="O90" s="90"/>
    </row>
    <row r="91" spans="3:15" x14ac:dyDescent="0.3">
      <c r="C91" s="117">
        <v>73</v>
      </c>
      <c r="D91" s="136" t="s">
        <v>650</v>
      </c>
      <c r="E91" s="136" t="s">
        <v>199</v>
      </c>
      <c r="F91" s="136">
        <v>70</v>
      </c>
      <c r="G91" s="136" t="s">
        <v>195</v>
      </c>
      <c r="H91" s="136">
        <v>0</v>
      </c>
      <c r="I91" s="136">
        <v>0</v>
      </c>
      <c r="K91" s="90"/>
      <c r="L91" s="90"/>
      <c r="M91" s="90"/>
      <c r="N91" s="90"/>
      <c r="O91" s="90"/>
    </row>
    <row r="92" spans="3:15" x14ac:dyDescent="0.3">
      <c r="C92" s="117">
        <v>74</v>
      </c>
      <c r="D92" s="136" t="s">
        <v>650</v>
      </c>
      <c r="E92" s="136" t="s">
        <v>201</v>
      </c>
      <c r="F92" s="136">
        <v>66</v>
      </c>
      <c r="G92" s="136" t="s">
        <v>195</v>
      </c>
      <c r="H92" s="136">
        <v>1</v>
      </c>
      <c r="I92" s="136">
        <v>1</v>
      </c>
      <c r="K92" s="90"/>
      <c r="L92" s="90"/>
      <c r="M92" s="90"/>
      <c r="N92" s="90"/>
      <c r="O92" s="90"/>
    </row>
    <row r="93" spans="3:15" x14ac:dyDescent="0.3">
      <c r="C93" s="117">
        <v>75</v>
      </c>
      <c r="D93" s="136" t="s">
        <v>650</v>
      </c>
      <c r="E93" s="136" t="s">
        <v>200</v>
      </c>
      <c r="F93" s="136">
        <v>68</v>
      </c>
      <c r="G93" s="136" t="s">
        <v>202</v>
      </c>
      <c r="H93" s="136">
        <v>1</v>
      </c>
      <c r="I93" s="136">
        <v>1</v>
      </c>
      <c r="K93" s="90"/>
      <c r="L93" s="90"/>
      <c r="M93" s="90"/>
      <c r="N93" s="90"/>
      <c r="O93" s="90"/>
    </row>
    <row r="94" spans="3:15" x14ac:dyDescent="0.3">
      <c r="C94" s="117">
        <v>76</v>
      </c>
      <c r="D94" s="136" t="s">
        <v>650</v>
      </c>
      <c r="E94" s="136" t="s">
        <v>200</v>
      </c>
      <c r="F94" s="136">
        <v>67</v>
      </c>
      <c r="G94" s="136" t="s">
        <v>202</v>
      </c>
      <c r="H94" s="136">
        <v>1</v>
      </c>
      <c r="I94" s="136">
        <v>1</v>
      </c>
      <c r="K94" s="90"/>
      <c r="L94" s="90"/>
      <c r="M94" s="90"/>
      <c r="N94" s="90"/>
      <c r="O94" s="90"/>
    </row>
    <row r="95" spans="3:15" x14ac:dyDescent="0.3">
      <c r="C95" s="117">
        <v>77</v>
      </c>
      <c r="D95" s="136" t="s">
        <v>650</v>
      </c>
      <c r="E95" s="136" t="s">
        <v>204</v>
      </c>
      <c r="F95" s="136">
        <v>65</v>
      </c>
      <c r="G95" s="136" t="s">
        <v>195</v>
      </c>
      <c r="H95" s="136">
        <v>1</v>
      </c>
      <c r="I95" s="136">
        <v>1</v>
      </c>
      <c r="K95" s="90"/>
      <c r="L95" s="90"/>
      <c r="M95" s="90"/>
      <c r="N95" s="90"/>
      <c r="O95" s="90"/>
    </row>
    <row r="96" spans="3:15" x14ac:dyDescent="0.3">
      <c r="C96" s="117">
        <v>78</v>
      </c>
      <c r="D96" s="136" t="s">
        <v>650</v>
      </c>
      <c r="E96" s="136" t="s">
        <v>199</v>
      </c>
      <c r="F96" s="136">
        <v>77</v>
      </c>
      <c r="G96" s="136" t="s">
        <v>202</v>
      </c>
      <c r="H96" s="136">
        <v>1</v>
      </c>
      <c r="I96" s="136">
        <v>1</v>
      </c>
      <c r="K96" s="90"/>
      <c r="L96" s="90"/>
      <c r="M96" s="90"/>
      <c r="N96" s="90"/>
      <c r="O96" s="90"/>
    </row>
    <row r="97" spans="3:15" x14ac:dyDescent="0.3">
      <c r="C97" s="117">
        <v>79</v>
      </c>
      <c r="D97" s="136" t="s">
        <v>650</v>
      </c>
      <c r="E97" s="136" t="s">
        <v>201</v>
      </c>
      <c r="F97" s="136">
        <v>79</v>
      </c>
      <c r="G97" s="136" t="s">
        <v>195</v>
      </c>
      <c r="H97" s="136">
        <v>1</v>
      </c>
      <c r="I97" s="136">
        <v>1</v>
      </c>
      <c r="K97" s="90"/>
      <c r="L97" s="90"/>
      <c r="M97" s="90"/>
      <c r="N97" s="90"/>
      <c r="O97" s="90"/>
    </row>
    <row r="98" spans="3:15" x14ac:dyDescent="0.3">
      <c r="C98" s="117">
        <v>80</v>
      </c>
      <c r="D98" s="136" t="s">
        <v>650</v>
      </c>
      <c r="E98" s="136" t="s">
        <v>70</v>
      </c>
      <c r="F98" s="136">
        <v>79</v>
      </c>
      <c r="G98" s="136" t="s">
        <v>202</v>
      </c>
      <c r="H98" s="136">
        <v>0</v>
      </c>
      <c r="I98" s="136">
        <v>0</v>
      </c>
      <c r="K98" s="90"/>
      <c r="L98" s="90"/>
      <c r="M98" s="90"/>
      <c r="N98" s="90"/>
      <c r="O98" s="90"/>
    </row>
    <row r="99" spans="3:15" x14ac:dyDescent="0.3">
      <c r="C99" s="117">
        <v>81</v>
      </c>
      <c r="D99" s="136" t="s">
        <v>650</v>
      </c>
      <c r="E99" s="136" t="s">
        <v>201</v>
      </c>
      <c r="F99" s="136">
        <v>67</v>
      </c>
      <c r="G99" s="136" t="s">
        <v>202</v>
      </c>
      <c r="H99" s="136">
        <v>0</v>
      </c>
      <c r="I99" s="136">
        <v>0</v>
      </c>
      <c r="K99" s="90"/>
      <c r="L99" s="90"/>
      <c r="M99" s="90"/>
      <c r="N99" s="90"/>
      <c r="O99" s="90"/>
    </row>
    <row r="100" spans="3:15" x14ac:dyDescent="0.3">
      <c r="C100" s="117">
        <v>82</v>
      </c>
      <c r="D100" s="136" t="s">
        <v>650</v>
      </c>
      <c r="E100" s="136" t="s">
        <v>68</v>
      </c>
      <c r="F100" s="136">
        <v>72</v>
      </c>
      <c r="G100" s="136" t="s">
        <v>195</v>
      </c>
      <c r="H100" s="136">
        <v>0</v>
      </c>
      <c r="I100" s="136">
        <v>0</v>
      </c>
      <c r="K100" s="90"/>
      <c r="L100" s="90"/>
      <c r="M100" s="90"/>
      <c r="N100" s="90"/>
      <c r="O100" s="90"/>
    </row>
    <row r="101" spans="3:15" x14ac:dyDescent="0.3">
      <c r="C101" s="117">
        <v>83</v>
      </c>
      <c r="D101" s="136" t="s">
        <v>650</v>
      </c>
      <c r="E101" s="136" t="s">
        <v>69</v>
      </c>
      <c r="F101" s="136">
        <v>71</v>
      </c>
      <c r="G101" s="136" t="s">
        <v>202</v>
      </c>
      <c r="H101" s="136">
        <v>2</v>
      </c>
      <c r="I101" s="136">
        <v>2</v>
      </c>
      <c r="K101" s="90"/>
      <c r="L101" s="90"/>
      <c r="M101" s="90"/>
      <c r="N101" s="90"/>
      <c r="O101" s="90"/>
    </row>
    <row r="102" spans="3:15" x14ac:dyDescent="0.3">
      <c r="C102" s="117">
        <v>84</v>
      </c>
      <c r="D102" s="136" t="s">
        <v>650</v>
      </c>
      <c r="E102" s="136" t="s">
        <v>69</v>
      </c>
      <c r="F102" s="136">
        <v>65</v>
      </c>
      <c r="G102" s="136" t="s">
        <v>202</v>
      </c>
      <c r="H102" s="136">
        <v>0</v>
      </c>
      <c r="I102" s="136">
        <v>1</v>
      </c>
      <c r="K102" s="90"/>
      <c r="L102" s="90"/>
      <c r="M102" s="90"/>
      <c r="N102" s="90"/>
      <c r="O102" s="90"/>
    </row>
    <row r="103" spans="3:15" x14ac:dyDescent="0.3">
      <c r="C103" s="117">
        <v>85</v>
      </c>
      <c r="D103" s="136" t="s">
        <v>650</v>
      </c>
      <c r="E103" s="136" t="s">
        <v>198</v>
      </c>
      <c r="F103" s="136">
        <v>76</v>
      </c>
      <c r="G103" s="136" t="s">
        <v>202</v>
      </c>
      <c r="H103" s="136">
        <v>0</v>
      </c>
      <c r="I103" s="136">
        <v>0</v>
      </c>
      <c r="K103" s="90"/>
      <c r="L103" s="90"/>
      <c r="M103" s="90"/>
      <c r="N103" s="90"/>
      <c r="O103" s="90"/>
    </row>
    <row r="104" spans="3:15" x14ac:dyDescent="0.3">
      <c r="C104" s="117">
        <v>86</v>
      </c>
      <c r="D104" s="136" t="s">
        <v>650</v>
      </c>
      <c r="E104" s="136" t="s">
        <v>202</v>
      </c>
      <c r="F104" s="136">
        <v>73</v>
      </c>
      <c r="G104" s="136" t="s">
        <v>195</v>
      </c>
      <c r="H104" s="136">
        <v>0</v>
      </c>
      <c r="I104" s="136">
        <v>0</v>
      </c>
      <c r="K104" s="90"/>
      <c r="L104" s="90"/>
      <c r="M104" s="90"/>
      <c r="N104" s="90"/>
      <c r="O104" s="90"/>
    </row>
    <row r="105" spans="3:15" x14ac:dyDescent="0.3">
      <c r="C105" s="117">
        <v>87</v>
      </c>
      <c r="D105" s="136" t="s">
        <v>650</v>
      </c>
      <c r="E105" s="136" t="s">
        <v>198</v>
      </c>
      <c r="F105" s="136">
        <v>78</v>
      </c>
      <c r="G105" s="136" t="s">
        <v>195</v>
      </c>
      <c r="H105" s="136">
        <v>0</v>
      </c>
      <c r="I105" s="136">
        <v>0</v>
      </c>
      <c r="K105" s="90"/>
      <c r="L105" s="90"/>
      <c r="M105" s="90"/>
      <c r="N105" s="90"/>
      <c r="O105" s="90"/>
    </row>
    <row r="106" spans="3:15" x14ac:dyDescent="0.3">
      <c r="C106" s="117">
        <v>88</v>
      </c>
      <c r="D106" s="136" t="s">
        <v>650</v>
      </c>
      <c r="E106" s="136" t="s">
        <v>68</v>
      </c>
      <c r="F106" s="136">
        <v>66</v>
      </c>
      <c r="G106" s="136" t="s">
        <v>202</v>
      </c>
      <c r="H106" s="136">
        <v>0</v>
      </c>
      <c r="I106" s="136">
        <v>0</v>
      </c>
      <c r="K106" s="90"/>
      <c r="L106" s="90"/>
      <c r="M106" s="90"/>
      <c r="N106" s="90"/>
      <c r="O106" s="90"/>
    </row>
    <row r="107" spans="3:15" x14ac:dyDescent="0.3">
      <c r="C107" s="117">
        <v>89</v>
      </c>
      <c r="D107" s="136" t="s">
        <v>650</v>
      </c>
      <c r="E107" s="136" t="s">
        <v>202</v>
      </c>
      <c r="F107" s="136">
        <v>69</v>
      </c>
      <c r="G107" s="136" t="s">
        <v>202</v>
      </c>
      <c r="H107" s="136">
        <v>2</v>
      </c>
      <c r="I107" s="136">
        <v>3</v>
      </c>
      <c r="K107" s="90"/>
      <c r="L107" s="90"/>
      <c r="M107" s="90"/>
      <c r="N107" s="90"/>
      <c r="O107" s="90"/>
    </row>
    <row r="108" spans="3:15" x14ac:dyDescent="0.3">
      <c r="C108" s="117">
        <v>90</v>
      </c>
      <c r="D108" s="136" t="s">
        <v>650</v>
      </c>
      <c r="E108" s="136" t="s">
        <v>201</v>
      </c>
      <c r="F108" s="136">
        <v>74</v>
      </c>
      <c r="G108" s="136" t="s">
        <v>195</v>
      </c>
      <c r="H108" s="136">
        <v>0</v>
      </c>
      <c r="I108" s="136">
        <v>0</v>
      </c>
      <c r="K108" s="90"/>
      <c r="L108" s="90"/>
      <c r="M108" s="90"/>
      <c r="N108" s="90"/>
      <c r="O108" s="90"/>
    </row>
    <row r="109" spans="3:15" x14ac:dyDescent="0.3">
      <c r="C109" s="117">
        <v>91</v>
      </c>
      <c r="D109" s="136" t="s">
        <v>650</v>
      </c>
      <c r="E109" s="136" t="s">
        <v>69</v>
      </c>
      <c r="F109" s="136">
        <v>75</v>
      </c>
      <c r="G109" s="136" t="s">
        <v>195</v>
      </c>
      <c r="H109" s="136">
        <v>1</v>
      </c>
      <c r="I109" s="136">
        <v>1</v>
      </c>
      <c r="K109" s="90"/>
      <c r="L109" s="90"/>
      <c r="M109" s="90"/>
      <c r="N109" s="90"/>
      <c r="O109" s="90"/>
    </row>
    <row r="110" spans="3:15" x14ac:dyDescent="0.3">
      <c r="C110" s="117">
        <v>92</v>
      </c>
      <c r="D110" s="136" t="s">
        <v>650</v>
      </c>
      <c r="E110" s="136" t="s">
        <v>199</v>
      </c>
      <c r="F110" s="136">
        <v>66</v>
      </c>
      <c r="G110" s="136" t="s">
        <v>202</v>
      </c>
      <c r="H110" s="136">
        <v>0</v>
      </c>
      <c r="I110" s="136">
        <v>0</v>
      </c>
      <c r="K110" s="90"/>
      <c r="L110" s="90"/>
      <c r="M110" s="90"/>
      <c r="N110" s="90"/>
      <c r="O110" s="90"/>
    </row>
    <row r="111" spans="3:15" x14ac:dyDescent="0.3">
      <c r="C111" s="117">
        <v>93</v>
      </c>
      <c r="D111" s="136" t="s">
        <v>650</v>
      </c>
      <c r="E111" s="136" t="s">
        <v>199</v>
      </c>
      <c r="F111" s="136">
        <v>77</v>
      </c>
      <c r="G111" s="136" t="s">
        <v>195</v>
      </c>
      <c r="H111" s="136">
        <v>0</v>
      </c>
      <c r="I111" s="136">
        <v>0</v>
      </c>
      <c r="K111" s="90"/>
      <c r="L111" s="90"/>
      <c r="M111" s="90"/>
      <c r="N111" s="90"/>
      <c r="O111" s="90"/>
    </row>
    <row r="112" spans="3:15" x14ac:dyDescent="0.3">
      <c r="C112" s="117">
        <v>94</v>
      </c>
      <c r="D112" s="136" t="s">
        <v>650</v>
      </c>
      <c r="E112" s="136" t="s">
        <v>69</v>
      </c>
      <c r="F112" s="136">
        <v>77</v>
      </c>
      <c r="G112" s="136" t="s">
        <v>195</v>
      </c>
      <c r="H112" s="136">
        <v>0</v>
      </c>
      <c r="I112" s="136">
        <v>1</v>
      </c>
      <c r="K112" s="90"/>
      <c r="L112" s="90"/>
      <c r="M112" s="90"/>
      <c r="N112" s="90"/>
      <c r="O112" s="90"/>
    </row>
    <row r="113" spans="3:15" x14ac:dyDescent="0.3">
      <c r="C113" s="117">
        <v>95</v>
      </c>
      <c r="D113" s="136" t="s">
        <v>650</v>
      </c>
      <c r="E113" s="136" t="s">
        <v>200</v>
      </c>
      <c r="F113" s="136">
        <v>70</v>
      </c>
      <c r="G113" s="136" t="s">
        <v>202</v>
      </c>
      <c r="H113" s="136">
        <v>0</v>
      </c>
      <c r="I113" s="136">
        <v>2</v>
      </c>
      <c r="K113" s="90"/>
      <c r="L113" s="90"/>
      <c r="M113" s="90"/>
      <c r="N113" s="90"/>
      <c r="O113" s="90"/>
    </row>
    <row r="114" spans="3:15" x14ac:dyDescent="0.3">
      <c r="C114" s="117">
        <v>96</v>
      </c>
      <c r="D114" s="136" t="s">
        <v>650</v>
      </c>
      <c r="E114" s="136" t="s">
        <v>70</v>
      </c>
      <c r="F114" s="136">
        <v>78</v>
      </c>
      <c r="G114" s="136" t="s">
        <v>202</v>
      </c>
      <c r="H114" s="136">
        <v>1</v>
      </c>
      <c r="I114" s="136">
        <v>1</v>
      </c>
      <c r="K114" s="90"/>
      <c r="L114" s="90"/>
      <c r="M114" s="90"/>
      <c r="N114" s="90"/>
      <c r="O114" s="90"/>
    </row>
    <row r="115" spans="3:15" x14ac:dyDescent="0.3">
      <c r="C115" s="117">
        <v>97</v>
      </c>
      <c r="D115" s="136" t="s">
        <v>650</v>
      </c>
      <c r="E115" s="136" t="s">
        <v>203</v>
      </c>
      <c r="F115" s="136">
        <v>75</v>
      </c>
      <c r="G115" s="136" t="s">
        <v>195</v>
      </c>
      <c r="H115" s="136">
        <v>0</v>
      </c>
      <c r="I115" s="136">
        <v>0</v>
      </c>
      <c r="K115" s="90"/>
      <c r="L115" s="90"/>
      <c r="M115" s="90"/>
      <c r="N115" s="90"/>
      <c r="O115" s="90"/>
    </row>
    <row r="116" spans="3:15" x14ac:dyDescent="0.3">
      <c r="C116" s="117">
        <v>98</v>
      </c>
      <c r="D116" s="136" t="s">
        <v>650</v>
      </c>
      <c r="E116" s="136" t="s">
        <v>204</v>
      </c>
      <c r="F116" s="136">
        <v>68</v>
      </c>
      <c r="G116" s="136" t="s">
        <v>195</v>
      </c>
      <c r="H116" s="136">
        <v>0</v>
      </c>
      <c r="I116" s="136">
        <v>1</v>
      </c>
      <c r="K116" s="90"/>
      <c r="L116" s="90"/>
      <c r="M116" s="90"/>
      <c r="N116" s="90"/>
      <c r="O116" s="90"/>
    </row>
    <row r="117" spans="3:15" x14ac:dyDescent="0.3">
      <c r="C117" s="117">
        <v>99</v>
      </c>
      <c r="D117" s="136" t="s">
        <v>650</v>
      </c>
      <c r="E117" s="136" t="s">
        <v>69</v>
      </c>
      <c r="F117" s="136">
        <v>67</v>
      </c>
      <c r="G117" s="136" t="s">
        <v>195</v>
      </c>
      <c r="H117" s="136">
        <v>0</v>
      </c>
      <c r="I117" s="136">
        <v>0</v>
      </c>
      <c r="K117" s="90"/>
      <c r="L117" s="90"/>
      <c r="M117" s="90"/>
      <c r="N117" s="90"/>
      <c r="O117" s="90"/>
    </row>
    <row r="118" spans="3:15" x14ac:dyDescent="0.3">
      <c r="C118" s="117">
        <v>100</v>
      </c>
      <c r="D118" s="136" t="s">
        <v>650</v>
      </c>
      <c r="E118" s="136" t="s">
        <v>69</v>
      </c>
      <c r="F118" s="136">
        <v>73</v>
      </c>
      <c r="G118" s="136" t="s">
        <v>195</v>
      </c>
      <c r="H118" s="136">
        <v>0</v>
      </c>
      <c r="I118" s="136">
        <v>0</v>
      </c>
      <c r="K118" s="90"/>
      <c r="L118" s="90"/>
      <c r="M118" s="90"/>
      <c r="N118" s="90"/>
      <c r="O118" s="90"/>
    </row>
    <row r="119" spans="3:15" x14ac:dyDescent="0.3">
      <c r="C119" s="117">
        <v>101</v>
      </c>
      <c r="D119" s="136" t="s">
        <v>650</v>
      </c>
      <c r="E119" s="136" t="s">
        <v>198</v>
      </c>
      <c r="F119" s="136">
        <v>65</v>
      </c>
      <c r="G119" s="136" t="s">
        <v>195</v>
      </c>
      <c r="H119" s="136">
        <v>0</v>
      </c>
      <c r="I119" s="136">
        <v>0</v>
      </c>
      <c r="K119" s="90"/>
      <c r="L119" s="90"/>
      <c r="M119" s="90"/>
      <c r="N119" s="90"/>
      <c r="O119" s="90"/>
    </row>
    <row r="120" spans="3:15" x14ac:dyDescent="0.3">
      <c r="C120" s="117">
        <v>102</v>
      </c>
      <c r="D120" s="136" t="s">
        <v>650</v>
      </c>
      <c r="E120" s="136" t="s">
        <v>200</v>
      </c>
      <c r="F120" s="136">
        <v>78</v>
      </c>
      <c r="G120" s="136" t="s">
        <v>195</v>
      </c>
      <c r="H120" s="136">
        <v>2</v>
      </c>
      <c r="I120" s="136">
        <v>2</v>
      </c>
      <c r="K120" s="90"/>
      <c r="L120" s="90"/>
      <c r="M120" s="90"/>
      <c r="N120" s="90"/>
      <c r="O120" s="90"/>
    </row>
    <row r="121" spans="3:15" x14ac:dyDescent="0.3">
      <c r="C121" s="117">
        <v>103</v>
      </c>
      <c r="D121" s="136" t="s">
        <v>650</v>
      </c>
      <c r="E121" s="136" t="s">
        <v>198</v>
      </c>
      <c r="F121" s="136">
        <v>74</v>
      </c>
      <c r="G121" s="136" t="s">
        <v>195</v>
      </c>
      <c r="H121" s="136">
        <v>1</v>
      </c>
      <c r="I121" s="136">
        <v>3</v>
      </c>
      <c r="K121" s="90"/>
      <c r="L121" s="90"/>
      <c r="M121" s="90"/>
      <c r="N121" s="90"/>
      <c r="O121" s="90"/>
    </row>
    <row r="122" spans="3:15" x14ac:dyDescent="0.3">
      <c r="C122" s="117">
        <v>104</v>
      </c>
      <c r="D122" s="136" t="s">
        <v>650</v>
      </c>
      <c r="E122" s="136" t="s">
        <v>201</v>
      </c>
      <c r="F122" s="136">
        <v>65</v>
      </c>
      <c r="G122" s="136" t="s">
        <v>202</v>
      </c>
      <c r="H122" s="136">
        <v>2</v>
      </c>
      <c r="I122" s="136">
        <v>0</v>
      </c>
      <c r="K122" s="90"/>
      <c r="L122" s="90"/>
      <c r="M122" s="90"/>
      <c r="N122" s="90"/>
      <c r="O122" s="90"/>
    </row>
    <row r="123" spans="3:15" x14ac:dyDescent="0.3">
      <c r="C123" s="117">
        <v>105</v>
      </c>
      <c r="D123" s="136" t="s">
        <v>650</v>
      </c>
      <c r="E123" s="136" t="s">
        <v>200</v>
      </c>
      <c r="F123" s="136">
        <v>77</v>
      </c>
      <c r="G123" s="136" t="s">
        <v>202</v>
      </c>
      <c r="H123" s="136">
        <v>0</v>
      </c>
      <c r="I123" s="136">
        <v>0</v>
      </c>
      <c r="K123" s="90"/>
      <c r="L123" s="90"/>
      <c r="M123" s="90"/>
      <c r="N123" s="90"/>
      <c r="O123" s="90"/>
    </row>
    <row r="124" spans="3:15" x14ac:dyDescent="0.3">
      <c r="C124" s="117">
        <v>106</v>
      </c>
      <c r="D124" s="136" t="s">
        <v>650</v>
      </c>
      <c r="E124" s="136" t="s">
        <v>70</v>
      </c>
      <c r="F124" s="136">
        <v>79</v>
      </c>
      <c r="G124" s="136" t="s">
        <v>202</v>
      </c>
      <c r="H124" s="136">
        <v>2</v>
      </c>
      <c r="I124" s="136">
        <v>2</v>
      </c>
      <c r="K124" s="90"/>
      <c r="L124" s="90"/>
      <c r="M124" s="90"/>
      <c r="N124" s="90"/>
      <c r="O124" s="90"/>
    </row>
    <row r="125" spans="3:15" x14ac:dyDescent="0.3">
      <c r="C125" s="117">
        <v>107</v>
      </c>
      <c r="D125" s="136" t="s">
        <v>650</v>
      </c>
      <c r="E125" s="136" t="s">
        <v>68</v>
      </c>
      <c r="F125" s="136">
        <v>72</v>
      </c>
      <c r="G125" s="136" t="s">
        <v>195</v>
      </c>
      <c r="H125" s="136">
        <v>0</v>
      </c>
      <c r="I125" s="136">
        <v>1</v>
      </c>
      <c r="K125" s="90"/>
      <c r="L125" s="90"/>
      <c r="M125" s="90"/>
      <c r="N125" s="90"/>
      <c r="O125" s="90"/>
    </row>
    <row r="126" spans="3:15" x14ac:dyDescent="0.3">
      <c r="C126" s="117">
        <v>108</v>
      </c>
      <c r="D126" s="136" t="s">
        <v>650</v>
      </c>
      <c r="E126" s="136" t="s">
        <v>69</v>
      </c>
      <c r="F126" s="136">
        <v>75</v>
      </c>
      <c r="G126" s="136" t="s">
        <v>195</v>
      </c>
      <c r="H126" s="136">
        <v>0</v>
      </c>
      <c r="I126" s="136">
        <v>0</v>
      </c>
      <c r="K126" s="90"/>
      <c r="L126" s="90"/>
      <c r="M126" s="90"/>
      <c r="N126" s="90"/>
      <c r="O126" s="90"/>
    </row>
    <row r="127" spans="3:15" x14ac:dyDescent="0.3">
      <c r="C127" s="117">
        <v>109</v>
      </c>
      <c r="D127" s="136" t="s">
        <v>650</v>
      </c>
      <c r="E127" s="136" t="s">
        <v>198</v>
      </c>
      <c r="F127" s="136">
        <v>80</v>
      </c>
      <c r="G127" s="136" t="s">
        <v>195</v>
      </c>
      <c r="H127" s="136">
        <v>0</v>
      </c>
      <c r="I127" s="136">
        <v>0</v>
      </c>
      <c r="K127" s="90"/>
      <c r="L127" s="90"/>
      <c r="M127" s="90"/>
      <c r="N127" s="90"/>
      <c r="O127" s="90"/>
    </row>
    <row r="128" spans="3:15" x14ac:dyDescent="0.3">
      <c r="C128" s="117">
        <v>110</v>
      </c>
      <c r="D128" s="136" t="s">
        <v>650</v>
      </c>
      <c r="E128" s="136" t="s">
        <v>200</v>
      </c>
      <c r="F128" s="136">
        <v>77</v>
      </c>
      <c r="G128" s="136" t="s">
        <v>195</v>
      </c>
      <c r="H128" s="136">
        <v>0</v>
      </c>
      <c r="I128" s="136">
        <v>0</v>
      </c>
      <c r="K128" s="90"/>
      <c r="L128" s="90"/>
      <c r="M128" s="90"/>
      <c r="N128" s="90"/>
      <c r="O128" s="90"/>
    </row>
    <row r="129" spans="3:15" x14ac:dyDescent="0.3">
      <c r="C129" s="117">
        <v>111</v>
      </c>
      <c r="D129" s="136" t="s">
        <v>650</v>
      </c>
      <c r="E129" s="136" t="s">
        <v>202</v>
      </c>
      <c r="F129" s="136">
        <v>74</v>
      </c>
      <c r="G129" s="136" t="s">
        <v>195</v>
      </c>
      <c r="H129" s="136">
        <v>0</v>
      </c>
      <c r="I129" s="136">
        <v>0</v>
      </c>
      <c r="K129" s="90"/>
      <c r="L129" s="90"/>
      <c r="M129" s="90"/>
      <c r="N129" s="90"/>
      <c r="O129" s="90"/>
    </row>
    <row r="130" spans="3:15" x14ac:dyDescent="0.3">
      <c r="C130" s="117">
        <v>112</v>
      </c>
      <c r="D130" s="136" t="s">
        <v>650</v>
      </c>
      <c r="E130" s="136" t="s">
        <v>70</v>
      </c>
      <c r="F130" s="136">
        <v>72</v>
      </c>
      <c r="G130" s="136" t="s">
        <v>195</v>
      </c>
      <c r="H130" s="136">
        <v>0</v>
      </c>
      <c r="I130" s="136">
        <v>0</v>
      </c>
      <c r="K130" s="90"/>
      <c r="L130" s="90"/>
      <c r="M130" s="90"/>
      <c r="N130" s="90"/>
      <c r="O130" s="90"/>
    </row>
    <row r="131" spans="3:15" x14ac:dyDescent="0.3">
      <c r="C131" s="117">
        <v>113</v>
      </c>
      <c r="D131" s="136" t="s">
        <v>650</v>
      </c>
      <c r="E131" s="136" t="s">
        <v>203</v>
      </c>
      <c r="F131" s="136">
        <v>72</v>
      </c>
      <c r="G131" s="136" t="s">
        <v>195</v>
      </c>
      <c r="H131" s="136">
        <v>1</v>
      </c>
      <c r="I131" s="136">
        <v>0</v>
      </c>
      <c r="K131" s="90"/>
      <c r="L131" s="90"/>
      <c r="M131" s="90"/>
      <c r="N131" s="90"/>
      <c r="O131" s="90"/>
    </row>
    <row r="132" spans="3:15" x14ac:dyDescent="0.3">
      <c r="C132" s="117">
        <v>114</v>
      </c>
      <c r="D132" s="136" t="s">
        <v>650</v>
      </c>
      <c r="E132" s="136" t="s">
        <v>200</v>
      </c>
      <c r="F132" s="136">
        <v>77</v>
      </c>
      <c r="G132" s="136" t="s">
        <v>202</v>
      </c>
      <c r="H132" s="136">
        <v>0</v>
      </c>
      <c r="I132" s="136">
        <v>0</v>
      </c>
      <c r="K132" s="90"/>
      <c r="L132" s="90"/>
      <c r="M132" s="90"/>
      <c r="N132" s="90"/>
      <c r="O132" s="90"/>
    </row>
    <row r="133" spans="3:15" x14ac:dyDescent="0.3">
      <c r="C133" s="117">
        <v>115</v>
      </c>
      <c r="D133" s="136" t="s">
        <v>650</v>
      </c>
      <c r="E133" s="136" t="s">
        <v>70</v>
      </c>
      <c r="F133" s="136">
        <v>74</v>
      </c>
      <c r="G133" s="136" t="s">
        <v>202</v>
      </c>
      <c r="H133" s="136">
        <v>3</v>
      </c>
      <c r="I133" s="136">
        <v>5</v>
      </c>
      <c r="K133" s="90"/>
      <c r="L133" s="90"/>
      <c r="M133" s="90"/>
      <c r="N133" s="90"/>
      <c r="O133" s="90"/>
    </row>
    <row r="134" spans="3:15" x14ac:dyDescent="0.3">
      <c r="C134" s="117">
        <v>116</v>
      </c>
      <c r="D134" s="136" t="s">
        <v>650</v>
      </c>
      <c r="E134" s="136" t="s">
        <v>203</v>
      </c>
      <c r="F134" s="136">
        <v>72</v>
      </c>
      <c r="G134" s="136" t="s">
        <v>202</v>
      </c>
      <c r="H134" s="136">
        <v>0</v>
      </c>
      <c r="I134" s="136">
        <v>0</v>
      </c>
      <c r="K134" s="90"/>
      <c r="L134" s="90"/>
      <c r="M134" s="90"/>
      <c r="N134" s="90"/>
      <c r="O134" s="90"/>
    </row>
    <row r="135" spans="3:15" x14ac:dyDescent="0.3">
      <c r="C135" s="117">
        <v>117</v>
      </c>
      <c r="D135" s="136" t="s">
        <v>650</v>
      </c>
      <c r="E135" s="136" t="s">
        <v>203</v>
      </c>
      <c r="F135" s="136">
        <v>80</v>
      </c>
      <c r="G135" s="136" t="s">
        <v>202</v>
      </c>
      <c r="H135" s="136">
        <v>0</v>
      </c>
      <c r="I135" s="136">
        <v>0</v>
      </c>
      <c r="K135" s="90"/>
      <c r="L135" s="90"/>
      <c r="M135" s="90"/>
      <c r="N135" s="90"/>
      <c r="O135" s="90"/>
    </row>
    <row r="136" spans="3:15" x14ac:dyDescent="0.3">
      <c r="C136" s="117">
        <v>118</v>
      </c>
      <c r="D136" s="136" t="s">
        <v>650</v>
      </c>
      <c r="E136" s="136" t="s">
        <v>68</v>
      </c>
      <c r="F136" s="136">
        <v>80</v>
      </c>
      <c r="G136" s="136" t="s">
        <v>195</v>
      </c>
      <c r="H136" s="136">
        <v>0</v>
      </c>
      <c r="I136" s="136">
        <v>0</v>
      </c>
      <c r="K136" s="90"/>
      <c r="L136" s="90"/>
      <c r="M136" s="90"/>
      <c r="N136" s="90"/>
      <c r="O136" s="90"/>
    </row>
    <row r="137" spans="3:15" x14ac:dyDescent="0.3">
      <c r="C137" s="117">
        <v>119</v>
      </c>
      <c r="D137" s="136" t="s">
        <v>650</v>
      </c>
      <c r="E137" s="136" t="s">
        <v>199</v>
      </c>
      <c r="F137" s="136">
        <v>73</v>
      </c>
      <c r="G137" s="136" t="s">
        <v>202</v>
      </c>
      <c r="H137" s="136">
        <v>0</v>
      </c>
      <c r="I137" s="136">
        <v>0</v>
      </c>
      <c r="K137" s="90"/>
      <c r="L137" s="90"/>
      <c r="M137" s="90"/>
      <c r="N137" s="90"/>
      <c r="O137" s="90"/>
    </row>
    <row r="138" spans="3:15" x14ac:dyDescent="0.3">
      <c r="C138" s="117">
        <v>120</v>
      </c>
      <c r="D138" s="136" t="s">
        <v>650</v>
      </c>
      <c r="E138" s="136" t="s">
        <v>198</v>
      </c>
      <c r="F138" s="136">
        <v>80</v>
      </c>
      <c r="G138" s="136" t="s">
        <v>195</v>
      </c>
      <c r="H138" s="136">
        <v>0</v>
      </c>
      <c r="I138" s="136">
        <v>0</v>
      </c>
      <c r="K138" s="90"/>
      <c r="L138" s="90"/>
      <c r="M138" s="90"/>
      <c r="N138" s="90"/>
      <c r="O138" s="90"/>
    </row>
    <row r="139" spans="3:15" x14ac:dyDescent="0.3">
      <c r="C139" s="117">
        <v>121</v>
      </c>
      <c r="D139" s="136" t="s">
        <v>650</v>
      </c>
      <c r="E139" s="136" t="s">
        <v>204</v>
      </c>
      <c r="F139" s="136">
        <v>74</v>
      </c>
      <c r="G139" s="136" t="s">
        <v>202</v>
      </c>
      <c r="H139" s="136">
        <v>1</v>
      </c>
      <c r="I139" s="136">
        <v>2</v>
      </c>
      <c r="K139" s="90"/>
      <c r="L139" s="90"/>
      <c r="M139" s="90"/>
      <c r="N139" s="90"/>
      <c r="O139" s="90"/>
    </row>
    <row r="140" spans="3:15" x14ac:dyDescent="0.3">
      <c r="C140" s="117">
        <v>122</v>
      </c>
      <c r="D140" s="136" t="s">
        <v>650</v>
      </c>
      <c r="E140" s="136" t="s">
        <v>198</v>
      </c>
      <c r="F140" s="136">
        <v>65</v>
      </c>
      <c r="G140" s="136" t="s">
        <v>195</v>
      </c>
      <c r="H140" s="136">
        <v>0</v>
      </c>
      <c r="I140" s="136">
        <v>0</v>
      </c>
      <c r="K140" s="90"/>
      <c r="L140" s="90"/>
      <c r="M140" s="90"/>
      <c r="N140" s="90"/>
      <c r="O140" s="90"/>
    </row>
    <row r="141" spans="3:15" x14ac:dyDescent="0.3">
      <c r="C141" s="117">
        <v>123</v>
      </c>
      <c r="D141" s="136" t="s">
        <v>650</v>
      </c>
      <c r="E141" s="136" t="s">
        <v>203</v>
      </c>
      <c r="F141" s="136">
        <v>67</v>
      </c>
      <c r="G141" s="136" t="s">
        <v>202</v>
      </c>
      <c r="H141" s="136">
        <v>1</v>
      </c>
      <c r="I141" s="136">
        <v>1</v>
      </c>
      <c r="K141" s="90"/>
      <c r="L141" s="90"/>
      <c r="M141" s="90"/>
      <c r="N141" s="90"/>
      <c r="O141" s="90"/>
    </row>
    <row r="142" spans="3:15" x14ac:dyDescent="0.3">
      <c r="C142" s="117">
        <v>124</v>
      </c>
      <c r="D142" s="136" t="s">
        <v>650</v>
      </c>
      <c r="E142" s="136" t="s">
        <v>199</v>
      </c>
      <c r="F142" s="136">
        <v>73</v>
      </c>
      <c r="G142" s="136" t="s">
        <v>195</v>
      </c>
      <c r="H142" s="136">
        <v>1</v>
      </c>
      <c r="I142" s="136">
        <v>1</v>
      </c>
      <c r="K142" s="90"/>
      <c r="L142" s="90"/>
      <c r="M142" s="90"/>
      <c r="N142" s="90"/>
      <c r="O142" s="90"/>
    </row>
    <row r="143" spans="3:15" x14ac:dyDescent="0.3">
      <c r="C143" s="117">
        <v>125</v>
      </c>
      <c r="D143" s="136" t="s">
        <v>650</v>
      </c>
      <c r="E143" s="136" t="s">
        <v>202</v>
      </c>
      <c r="F143" s="136">
        <v>73</v>
      </c>
      <c r="G143" s="136" t="s">
        <v>202</v>
      </c>
      <c r="H143" s="136">
        <v>0</v>
      </c>
      <c r="I143" s="136">
        <v>0</v>
      </c>
      <c r="K143" s="90"/>
      <c r="L143" s="90"/>
      <c r="M143" s="90"/>
      <c r="N143" s="90"/>
      <c r="O143" s="90"/>
    </row>
    <row r="144" spans="3:15" x14ac:dyDescent="0.3">
      <c r="C144" s="117">
        <v>126</v>
      </c>
      <c r="D144" s="136" t="s">
        <v>650</v>
      </c>
      <c r="E144" s="136" t="s">
        <v>202</v>
      </c>
      <c r="F144" s="136">
        <v>71</v>
      </c>
      <c r="G144" s="136" t="s">
        <v>202</v>
      </c>
      <c r="H144" s="136">
        <v>0</v>
      </c>
      <c r="I144" s="136">
        <v>0</v>
      </c>
      <c r="K144" s="90"/>
      <c r="L144" s="90"/>
      <c r="M144" s="90"/>
      <c r="N144" s="90"/>
      <c r="O144" s="90"/>
    </row>
    <row r="145" spans="3:15" x14ac:dyDescent="0.3">
      <c r="C145" s="117">
        <v>127</v>
      </c>
      <c r="D145" s="136" t="s">
        <v>650</v>
      </c>
      <c r="E145" s="136" t="s">
        <v>199</v>
      </c>
      <c r="F145" s="136">
        <v>69</v>
      </c>
      <c r="G145" s="136" t="s">
        <v>195</v>
      </c>
      <c r="H145" s="136">
        <v>0</v>
      </c>
      <c r="I145" s="136">
        <v>0</v>
      </c>
      <c r="K145" s="90"/>
      <c r="L145" s="90"/>
      <c r="M145" s="90"/>
      <c r="N145" s="90"/>
      <c r="O145" s="90"/>
    </row>
    <row r="146" spans="3:15" x14ac:dyDescent="0.3">
      <c r="C146" s="117">
        <v>128</v>
      </c>
      <c r="D146" s="136" t="s">
        <v>650</v>
      </c>
      <c r="E146" s="136" t="s">
        <v>203</v>
      </c>
      <c r="F146" s="136">
        <v>76</v>
      </c>
      <c r="G146" s="136" t="s">
        <v>202</v>
      </c>
      <c r="H146" s="136">
        <v>0</v>
      </c>
      <c r="I146" s="136">
        <v>0</v>
      </c>
      <c r="K146" s="90"/>
      <c r="L146" s="90"/>
      <c r="M146" s="90"/>
      <c r="N146" s="90"/>
      <c r="O146" s="90"/>
    </row>
    <row r="147" spans="3:15" x14ac:dyDescent="0.3">
      <c r="C147" s="117">
        <v>129</v>
      </c>
      <c r="D147" s="136" t="s">
        <v>650</v>
      </c>
      <c r="E147" s="136" t="s">
        <v>70</v>
      </c>
      <c r="F147" s="136">
        <v>72</v>
      </c>
      <c r="G147" s="136" t="s">
        <v>202</v>
      </c>
      <c r="H147" s="136">
        <v>0</v>
      </c>
      <c r="I147" s="136">
        <v>0</v>
      </c>
      <c r="K147" s="90"/>
      <c r="L147" s="90"/>
      <c r="M147" s="90"/>
      <c r="N147" s="90"/>
      <c r="O147" s="90"/>
    </row>
    <row r="148" spans="3:15" x14ac:dyDescent="0.3">
      <c r="C148" s="117">
        <v>130</v>
      </c>
      <c r="D148" s="136" t="s">
        <v>650</v>
      </c>
      <c r="E148" s="136" t="s">
        <v>201</v>
      </c>
      <c r="F148" s="136">
        <v>78</v>
      </c>
      <c r="G148" s="136" t="s">
        <v>195</v>
      </c>
      <c r="H148" s="136">
        <v>0</v>
      </c>
      <c r="I148" s="136">
        <v>0</v>
      </c>
      <c r="K148" s="90"/>
      <c r="L148" s="90"/>
      <c r="M148" s="90"/>
      <c r="N148" s="90"/>
      <c r="O148" s="90"/>
    </row>
    <row r="149" spans="3:15" x14ac:dyDescent="0.3">
      <c r="C149" s="117">
        <v>131</v>
      </c>
      <c r="D149" s="136" t="s">
        <v>650</v>
      </c>
      <c r="E149" s="136" t="s">
        <v>201</v>
      </c>
      <c r="F149" s="136">
        <v>78</v>
      </c>
      <c r="G149" s="136" t="s">
        <v>202</v>
      </c>
      <c r="H149" s="136">
        <v>1</v>
      </c>
      <c r="I149" s="136">
        <v>0</v>
      </c>
      <c r="K149" s="90"/>
      <c r="L149" s="90"/>
      <c r="M149" s="90"/>
      <c r="N149" s="90"/>
      <c r="O149" s="90"/>
    </row>
    <row r="150" spans="3:15" x14ac:dyDescent="0.3">
      <c r="C150" s="117">
        <v>132</v>
      </c>
      <c r="D150" s="136" t="s">
        <v>650</v>
      </c>
      <c r="E150" s="136" t="s">
        <v>198</v>
      </c>
      <c r="F150" s="136">
        <v>71</v>
      </c>
      <c r="G150" s="136" t="s">
        <v>202</v>
      </c>
      <c r="H150" s="136">
        <v>0</v>
      </c>
      <c r="I150" s="136">
        <v>1</v>
      </c>
      <c r="K150" s="90"/>
      <c r="L150" s="90"/>
      <c r="M150" s="90"/>
      <c r="N150" s="90"/>
      <c r="O150" s="90"/>
    </row>
    <row r="151" spans="3:15" x14ac:dyDescent="0.3">
      <c r="C151" s="117">
        <v>133</v>
      </c>
      <c r="D151" s="136" t="s">
        <v>650</v>
      </c>
      <c r="E151" s="136" t="s">
        <v>203</v>
      </c>
      <c r="F151" s="136">
        <v>75</v>
      </c>
      <c r="G151" s="136" t="s">
        <v>202</v>
      </c>
      <c r="H151" s="136">
        <v>0</v>
      </c>
      <c r="I151" s="136">
        <v>0</v>
      </c>
      <c r="K151" s="90"/>
      <c r="L151" s="90"/>
      <c r="M151" s="90"/>
      <c r="N151" s="90"/>
      <c r="O151" s="90"/>
    </row>
    <row r="152" spans="3:15" x14ac:dyDescent="0.3">
      <c r="C152" s="117">
        <v>134</v>
      </c>
      <c r="D152" s="136" t="s">
        <v>650</v>
      </c>
      <c r="E152" s="136" t="s">
        <v>199</v>
      </c>
      <c r="F152" s="136">
        <v>79</v>
      </c>
      <c r="G152" s="136" t="s">
        <v>202</v>
      </c>
      <c r="H152" s="136">
        <v>1</v>
      </c>
      <c r="I152" s="136">
        <v>2</v>
      </c>
      <c r="K152" s="90"/>
      <c r="L152" s="90"/>
      <c r="M152" s="90"/>
      <c r="N152" s="90"/>
      <c r="O152" s="90"/>
    </row>
    <row r="153" spans="3:15" x14ac:dyDescent="0.3">
      <c r="C153" s="117">
        <v>135</v>
      </c>
      <c r="D153" s="136" t="s">
        <v>650</v>
      </c>
      <c r="E153" s="136" t="s">
        <v>69</v>
      </c>
      <c r="F153" s="136">
        <v>69</v>
      </c>
      <c r="G153" s="136" t="s">
        <v>202</v>
      </c>
      <c r="H153" s="136">
        <v>0</v>
      </c>
      <c r="I153" s="136">
        <v>0</v>
      </c>
      <c r="K153" s="90"/>
      <c r="L153" s="90"/>
      <c r="M153" s="90"/>
      <c r="N153" s="90"/>
      <c r="O153" s="90"/>
    </row>
    <row r="154" spans="3:15" x14ac:dyDescent="0.3">
      <c r="C154" s="117">
        <v>136</v>
      </c>
      <c r="D154" s="136" t="s">
        <v>650</v>
      </c>
      <c r="E154" s="136" t="s">
        <v>70</v>
      </c>
      <c r="F154" s="136">
        <v>80</v>
      </c>
      <c r="G154" s="136" t="s">
        <v>202</v>
      </c>
      <c r="H154" s="136">
        <v>0</v>
      </c>
      <c r="I154" s="136">
        <v>0</v>
      </c>
      <c r="K154" s="90"/>
      <c r="L154" s="90"/>
      <c r="M154" s="90"/>
      <c r="N154" s="90"/>
      <c r="O154" s="90"/>
    </row>
    <row r="155" spans="3:15" x14ac:dyDescent="0.3">
      <c r="C155" s="117">
        <v>137</v>
      </c>
      <c r="D155" s="136" t="s">
        <v>650</v>
      </c>
      <c r="E155" s="136" t="s">
        <v>200</v>
      </c>
      <c r="F155" s="136">
        <v>69</v>
      </c>
      <c r="G155" s="136" t="s">
        <v>195</v>
      </c>
      <c r="H155" s="136">
        <v>0</v>
      </c>
      <c r="I155" s="136">
        <v>0</v>
      </c>
      <c r="K155" s="90"/>
      <c r="L155" s="90"/>
      <c r="M155" s="90"/>
      <c r="N155" s="90"/>
      <c r="O155" s="90"/>
    </row>
    <row r="156" spans="3:15" x14ac:dyDescent="0.3">
      <c r="C156" s="117">
        <v>138</v>
      </c>
      <c r="D156" s="136" t="s">
        <v>650</v>
      </c>
      <c r="E156" s="136" t="s">
        <v>68</v>
      </c>
      <c r="F156" s="136">
        <v>73</v>
      </c>
      <c r="G156" s="136" t="s">
        <v>195</v>
      </c>
      <c r="H156" s="136">
        <v>0</v>
      </c>
      <c r="I156" s="136">
        <v>0</v>
      </c>
      <c r="K156" s="90"/>
      <c r="L156" s="90"/>
      <c r="M156" s="90"/>
      <c r="N156" s="90"/>
      <c r="O156" s="90"/>
    </row>
    <row r="157" spans="3:15" x14ac:dyDescent="0.3">
      <c r="C157" s="117">
        <v>139</v>
      </c>
      <c r="D157" s="136" t="s">
        <v>650</v>
      </c>
      <c r="E157" s="136" t="s">
        <v>202</v>
      </c>
      <c r="F157" s="136">
        <v>74</v>
      </c>
      <c r="G157" s="136" t="s">
        <v>202</v>
      </c>
      <c r="H157" s="136">
        <v>0</v>
      </c>
      <c r="I157" s="136">
        <v>0</v>
      </c>
      <c r="K157" s="90"/>
      <c r="L157" s="90"/>
      <c r="M157" s="90"/>
      <c r="N157" s="90"/>
      <c r="O157" s="90"/>
    </row>
    <row r="158" spans="3:15" x14ac:dyDescent="0.3">
      <c r="C158" s="117">
        <v>140</v>
      </c>
      <c r="D158" s="136" t="s">
        <v>650</v>
      </c>
      <c r="E158" s="136" t="s">
        <v>199</v>
      </c>
      <c r="F158" s="136">
        <v>72</v>
      </c>
      <c r="G158" s="136" t="s">
        <v>202</v>
      </c>
      <c r="H158" s="136">
        <v>1</v>
      </c>
      <c r="I158" s="136">
        <v>0</v>
      </c>
      <c r="K158" s="90"/>
      <c r="L158" s="90"/>
      <c r="M158" s="90"/>
      <c r="N158" s="90"/>
      <c r="O158" s="90"/>
    </row>
    <row r="159" spans="3:15" x14ac:dyDescent="0.3">
      <c r="C159" s="117">
        <v>141</v>
      </c>
      <c r="D159" s="136" t="s">
        <v>650</v>
      </c>
      <c r="E159" s="136" t="s">
        <v>203</v>
      </c>
      <c r="F159" s="136">
        <v>76</v>
      </c>
      <c r="G159" s="136" t="s">
        <v>195</v>
      </c>
      <c r="H159" s="136">
        <v>2</v>
      </c>
      <c r="I159" s="136">
        <v>2</v>
      </c>
      <c r="K159" s="90"/>
      <c r="L159" s="90"/>
      <c r="M159" s="90"/>
      <c r="N159" s="90"/>
      <c r="O159" s="90"/>
    </row>
    <row r="160" spans="3:15" x14ac:dyDescent="0.3">
      <c r="C160" s="117">
        <v>142</v>
      </c>
      <c r="D160" s="136" t="s">
        <v>650</v>
      </c>
      <c r="E160" s="136" t="s">
        <v>201</v>
      </c>
      <c r="F160" s="136">
        <v>77</v>
      </c>
      <c r="G160" s="136" t="s">
        <v>195</v>
      </c>
      <c r="H160" s="136">
        <v>0</v>
      </c>
      <c r="I160" s="136">
        <v>0</v>
      </c>
      <c r="K160" s="90"/>
      <c r="L160" s="90"/>
      <c r="M160" s="90"/>
      <c r="N160" s="90"/>
      <c r="O160" s="90"/>
    </row>
    <row r="161" spans="3:15" x14ac:dyDescent="0.3">
      <c r="C161" s="117">
        <v>143</v>
      </c>
      <c r="D161" s="136" t="s">
        <v>650</v>
      </c>
      <c r="E161" s="136" t="s">
        <v>70</v>
      </c>
      <c r="F161" s="136">
        <v>76</v>
      </c>
      <c r="G161" s="136" t="s">
        <v>202</v>
      </c>
      <c r="H161" s="136">
        <v>0</v>
      </c>
      <c r="I161" s="136">
        <v>0</v>
      </c>
      <c r="K161" s="90"/>
      <c r="L161" s="90"/>
      <c r="M161" s="90"/>
      <c r="N161" s="90"/>
      <c r="O161" s="90"/>
    </row>
    <row r="162" spans="3:15" x14ac:dyDescent="0.3">
      <c r="C162" s="117">
        <v>144</v>
      </c>
      <c r="D162" s="136" t="s">
        <v>650</v>
      </c>
      <c r="E162" s="136" t="s">
        <v>202</v>
      </c>
      <c r="F162" s="136">
        <v>68</v>
      </c>
      <c r="G162" s="136" t="s">
        <v>202</v>
      </c>
      <c r="H162" s="136">
        <v>1</v>
      </c>
      <c r="I162" s="136">
        <v>1</v>
      </c>
      <c r="K162" s="90"/>
      <c r="L162" s="90"/>
      <c r="M162" s="90"/>
      <c r="N162" s="90"/>
      <c r="O162" s="90"/>
    </row>
    <row r="163" spans="3:15" x14ac:dyDescent="0.3">
      <c r="C163" s="117">
        <v>145</v>
      </c>
      <c r="D163" s="136" t="s">
        <v>650</v>
      </c>
      <c r="E163" s="136" t="s">
        <v>204</v>
      </c>
      <c r="F163" s="136">
        <v>80</v>
      </c>
      <c r="G163" s="136" t="s">
        <v>202</v>
      </c>
      <c r="H163" s="136">
        <v>0</v>
      </c>
      <c r="I163" s="136">
        <v>0</v>
      </c>
      <c r="K163" s="90"/>
      <c r="L163" s="90"/>
      <c r="M163" s="90"/>
      <c r="N163" s="90"/>
      <c r="O163" s="90"/>
    </row>
    <row r="164" spans="3:15" x14ac:dyDescent="0.3">
      <c r="C164" s="117">
        <v>146</v>
      </c>
      <c r="D164" s="136" t="s">
        <v>650</v>
      </c>
      <c r="E164" s="136" t="s">
        <v>203</v>
      </c>
      <c r="F164" s="136">
        <v>69</v>
      </c>
      <c r="G164" s="136" t="s">
        <v>202</v>
      </c>
      <c r="H164" s="136">
        <v>0</v>
      </c>
      <c r="I164" s="136">
        <v>0</v>
      </c>
      <c r="K164" s="90"/>
      <c r="L164" s="90"/>
      <c r="M164" s="90"/>
      <c r="N164" s="90"/>
      <c r="O164" s="90"/>
    </row>
    <row r="165" spans="3:15" x14ac:dyDescent="0.3">
      <c r="C165" s="117">
        <v>147</v>
      </c>
      <c r="D165" s="136" t="s">
        <v>650</v>
      </c>
      <c r="E165" s="136" t="s">
        <v>201</v>
      </c>
      <c r="F165" s="136">
        <v>65</v>
      </c>
      <c r="G165" s="136" t="s">
        <v>202</v>
      </c>
      <c r="H165" s="136">
        <v>0</v>
      </c>
      <c r="I165" s="136">
        <v>2</v>
      </c>
      <c r="K165" s="90"/>
      <c r="L165" s="90"/>
      <c r="M165" s="90"/>
      <c r="N165" s="90"/>
      <c r="O165" s="90"/>
    </row>
    <row r="166" spans="3:15" x14ac:dyDescent="0.3">
      <c r="C166" s="117">
        <v>148</v>
      </c>
      <c r="D166" s="136" t="s">
        <v>650</v>
      </c>
      <c r="E166" s="136" t="s">
        <v>199</v>
      </c>
      <c r="F166" s="136">
        <v>66</v>
      </c>
      <c r="G166" s="136" t="s">
        <v>195</v>
      </c>
      <c r="H166" s="136">
        <v>1</v>
      </c>
      <c r="I166" s="136">
        <v>1</v>
      </c>
      <c r="K166" s="90"/>
      <c r="L166" s="90"/>
      <c r="M166" s="90"/>
      <c r="N166" s="90"/>
      <c r="O166" s="90"/>
    </row>
    <row r="167" spans="3:15" x14ac:dyDescent="0.3">
      <c r="C167" s="117">
        <v>149</v>
      </c>
      <c r="D167" s="136" t="s">
        <v>650</v>
      </c>
      <c r="E167" s="136" t="s">
        <v>202</v>
      </c>
      <c r="F167" s="136">
        <v>65</v>
      </c>
      <c r="G167" s="136" t="s">
        <v>202</v>
      </c>
      <c r="H167" s="136">
        <v>0</v>
      </c>
      <c r="I167" s="136">
        <v>1</v>
      </c>
      <c r="K167" s="90"/>
      <c r="L167" s="90"/>
      <c r="M167" s="90"/>
      <c r="N167" s="90"/>
      <c r="O167" s="90"/>
    </row>
    <row r="168" spans="3:15" x14ac:dyDescent="0.3">
      <c r="C168" s="117">
        <v>150</v>
      </c>
      <c r="D168" s="136" t="s">
        <v>650</v>
      </c>
      <c r="E168" s="136" t="s">
        <v>68</v>
      </c>
      <c r="F168" s="136">
        <v>79</v>
      </c>
      <c r="G168" s="136" t="s">
        <v>202</v>
      </c>
      <c r="H168" s="136">
        <v>1</v>
      </c>
      <c r="I168" s="136">
        <v>1</v>
      </c>
      <c r="K168" s="90"/>
      <c r="L168" s="90"/>
      <c r="M168" s="90"/>
      <c r="N168" s="90"/>
      <c r="O168" s="90"/>
    </row>
    <row r="169" spans="3:15" x14ac:dyDescent="0.3">
      <c r="C169" s="117">
        <v>151</v>
      </c>
      <c r="D169" s="136" t="s">
        <v>650</v>
      </c>
      <c r="E169" s="136" t="s">
        <v>200</v>
      </c>
      <c r="F169" s="136">
        <v>76</v>
      </c>
      <c r="G169" s="136" t="s">
        <v>195</v>
      </c>
      <c r="H169" s="136">
        <v>0</v>
      </c>
      <c r="I169" s="136">
        <v>0</v>
      </c>
      <c r="K169" s="90"/>
      <c r="L169" s="90"/>
      <c r="M169" s="90"/>
      <c r="N169" s="90"/>
      <c r="O169" s="90"/>
    </row>
    <row r="170" spans="3:15" x14ac:dyDescent="0.3">
      <c r="C170" s="117">
        <v>152</v>
      </c>
      <c r="D170" s="136" t="s">
        <v>650</v>
      </c>
      <c r="E170" s="136" t="s">
        <v>201</v>
      </c>
      <c r="F170" s="136">
        <v>72</v>
      </c>
      <c r="G170" s="136" t="s">
        <v>202</v>
      </c>
      <c r="H170" s="136">
        <v>0</v>
      </c>
      <c r="I170" s="136">
        <v>0</v>
      </c>
      <c r="K170" s="90"/>
      <c r="L170" s="90"/>
      <c r="M170" s="90"/>
      <c r="N170" s="90"/>
      <c r="O170" s="90"/>
    </row>
    <row r="171" spans="3:15" x14ac:dyDescent="0.3">
      <c r="C171" s="117">
        <v>153</v>
      </c>
      <c r="D171" s="136" t="s">
        <v>650</v>
      </c>
      <c r="E171" s="136" t="s">
        <v>68</v>
      </c>
      <c r="F171" s="136">
        <v>71</v>
      </c>
      <c r="G171" s="136" t="s">
        <v>202</v>
      </c>
      <c r="H171" s="136">
        <v>2</v>
      </c>
      <c r="I171" s="136">
        <v>2</v>
      </c>
      <c r="K171" s="90"/>
      <c r="L171" s="90"/>
      <c r="M171" s="90"/>
      <c r="N171" s="90"/>
      <c r="O171" s="90"/>
    </row>
    <row r="172" spans="3:15" x14ac:dyDescent="0.3">
      <c r="C172" s="117">
        <v>154</v>
      </c>
      <c r="D172" s="136" t="s">
        <v>650</v>
      </c>
      <c r="E172" s="136" t="s">
        <v>198</v>
      </c>
      <c r="F172" s="136">
        <v>71</v>
      </c>
      <c r="G172" s="136" t="s">
        <v>202</v>
      </c>
      <c r="H172" s="136">
        <v>0</v>
      </c>
      <c r="I172" s="136">
        <v>0</v>
      </c>
      <c r="K172" s="90"/>
      <c r="L172" s="90"/>
      <c r="M172" s="90"/>
      <c r="N172" s="90"/>
      <c r="O172" s="90"/>
    </row>
    <row r="173" spans="3:15" x14ac:dyDescent="0.3">
      <c r="C173" s="117">
        <v>155</v>
      </c>
      <c r="D173" s="136" t="s">
        <v>650</v>
      </c>
      <c r="E173" s="136" t="s">
        <v>201</v>
      </c>
      <c r="F173" s="136">
        <v>69</v>
      </c>
      <c r="G173" s="136" t="s">
        <v>202</v>
      </c>
      <c r="H173" s="136">
        <v>1</v>
      </c>
      <c r="I173" s="136">
        <v>1</v>
      </c>
      <c r="K173" s="90"/>
      <c r="L173" s="90"/>
      <c r="M173" s="90"/>
      <c r="N173" s="90"/>
      <c r="O173" s="90"/>
    </row>
    <row r="174" spans="3:15" x14ac:dyDescent="0.3">
      <c r="C174" s="117">
        <v>156</v>
      </c>
      <c r="D174" s="136" t="s">
        <v>650</v>
      </c>
      <c r="E174" s="136" t="s">
        <v>199</v>
      </c>
      <c r="F174" s="136">
        <v>65</v>
      </c>
      <c r="G174" s="136" t="s">
        <v>202</v>
      </c>
      <c r="H174" s="136">
        <v>0</v>
      </c>
      <c r="I174" s="136">
        <v>0</v>
      </c>
      <c r="K174" s="90"/>
      <c r="L174" s="90"/>
      <c r="M174" s="90"/>
      <c r="N174" s="90"/>
      <c r="O174" s="90"/>
    </row>
    <row r="175" spans="3:15" x14ac:dyDescent="0.3">
      <c r="C175" s="117">
        <v>157</v>
      </c>
      <c r="D175" s="136" t="s">
        <v>650</v>
      </c>
      <c r="E175" s="136" t="s">
        <v>68</v>
      </c>
      <c r="F175" s="136">
        <v>77</v>
      </c>
      <c r="G175" s="136" t="s">
        <v>195</v>
      </c>
      <c r="H175" s="136">
        <v>1</v>
      </c>
      <c r="I175" s="136">
        <v>0</v>
      </c>
      <c r="K175" s="90"/>
      <c r="L175" s="90"/>
      <c r="M175" s="90"/>
      <c r="N175" s="90"/>
      <c r="O175" s="90"/>
    </row>
    <row r="176" spans="3:15" x14ac:dyDescent="0.3">
      <c r="C176" s="117">
        <v>158</v>
      </c>
      <c r="D176" s="136" t="s">
        <v>650</v>
      </c>
      <c r="E176" s="136" t="s">
        <v>198</v>
      </c>
      <c r="F176" s="136">
        <v>71</v>
      </c>
      <c r="G176" s="136" t="s">
        <v>195</v>
      </c>
      <c r="H176" s="136">
        <v>3</v>
      </c>
      <c r="I176" s="136">
        <v>3</v>
      </c>
      <c r="K176" s="90"/>
      <c r="L176" s="90"/>
      <c r="M176" s="90"/>
      <c r="N176" s="90"/>
      <c r="O176" s="90"/>
    </row>
    <row r="177" spans="3:15" x14ac:dyDescent="0.3">
      <c r="C177" s="117">
        <v>159</v>
      </c>
      <c r="D177" s="136" t="s">
        <v>650</v>
      </c>
      <c r="E177" s="136" t="s">
        <v>201</v>
      </c>
      <c r="F177" s="136">
        <v>68</v>
      </c>
      <c r="G177" s="136" t="s">
        <v>195</v>
      </c>
      <c r="H177" s="136">
        <v>0</v>
      </c>
      <c r="I177" s="136">
        <v>0</v>
      </c>
      <c r="K177" s="90"/>
      <c r="L177" s="90"/>
      <c r="M177" s="90"/>
      <c r="N177" s="90"/>
      <c r="O177" s="90"/>
    </row>
    <row r="178" spans="3:15" x14ac:dyDescent="0.3">
      <c r="C178" s="117">
        <v>160</v>
      </c>
      <c r="D178" s="136" t="s">
        <v>650</v>
      </c>
      <c r="E178" s="136" t="s">
        <v>199</v>
      </c>
      <c r="F178" s="136">
        <v>77</v>
      </c>
      <c r="G178" s="136" t="s">
        <v>195</v>
      </c>
      <c r="H178" s="136">
        <v>0</v>
      </c>
      <c r="I178" s="136">
        <v>0</v>
      </c>
      <c r="K178" s="90"/>
      <c r="L178" s="90"/>
      <c r="M178" s="90"/>
      <c r="N178" s="90"/>
      <c r="O178" s="90"/>
    </row>
    <row r="179" spans="3:15" x14ac:dyDescent="0.3">
      <c r="C179" s="117">
        <v>161</v>
      </c>
      <c r="D179" s="136" t="s">
        <v>650</v>
      </c>
      <c r="E179" s="136" t="s">
        <v>203</v>
      </c>
      <c r="F179" s="136">
        <v>68</v>
      </c>
      <c r="G179" s="136" t="s">
        <v>195</v>
      </c>
      <c r="H179" s="136">
        <v>0</v>
      </c>
      <c r="I179" s="136">
        <v>0</v>
      </c>
      <c r="K179" s="90"/>
      <c r="L179" s="90"/>
      <c r="M179" s="90"/>
      <c r="N179" s="90"/>
      <c r="O179" s="90"/>
    </row>
    <row r="180" spans="3:15" x14ac:dyDescent="0.3">
      <c r="C180" s="117">
        <v>162</v>
      </c>
      <c r="D180" s="136" t="s">
        <v>650</v>
      </c>
      <c r="E180" s="136" t="s">
        <v>199</v>
      </c>
      <c r="F180" s="136">
        <v>78</v>
      </c>
      <c r="G180" s="136" t="s">
        <v>195</v>
      </c>
      <c r="H180" s="136">
        <v>0</v>
      </c>
      <c r="I180" s="136">
        <v>0</v>
      </c>
      <c r="K180" s="90"/>
      <c r="L180" s="90"/>
      <c r="M180" s="90"/>
      <c r="N180" s="90"/>
      <c r="O180" s="90"/>
    </row>
    <row r="181" spans="3:15" x14ac:dyDescent="0.3">
      <c r="C181" s="117">
        <v>163</v>
      </c>
      <c r="D181" s="136" t="s">
        <v>650</v>
      </c>
      <c r="E181" s="136" t="s">
        <v>201</v>
      </c>
      <c r="F181" s="136">
        <v>80</v>
      </c>
      <c r="G181" s="136" t="s">
        <v>202</v>
      </c>
      <c r="H181" s="136">
        <v>0</v>
      </c>
      <c r="I181" s="136">
        <v>0</v>
      </c>
      <c r="K181" s="90"/>
      <c r="L181" s="90"/>
      <c r="M181" s="90"/>
      <c r="N181" s="90"/>
      <c r="O181" s="90"/>
    </row>
    <row r="182" spans="3:15" x14ac:dyDescent="0.3">
      <c r="C182" s="117">
        <v>164</v>
      </c>
      <c r="D182" s="136" t="s">
        <v>650</v>
      </c>
      <c r="E182" s="136" t="s">
        <v>200</v>
      </c>
      <c r="F182" s="136">
        <v>80</v>
      </c>
      <c r="G182" s="136" t="s">
        <v>202</v>
      </c>
      <c r="H182" s="136">
        <v>0</v>
      </c>
      <c r="I182" s="136">
        <v>0</v>
      </c>
      <c r="K182" s="90"/>
      <c r="L182" s="90"/>
      <c r="M182" s="90"/>
      <c r="N182" s="90"/>
      <c r="O182" s="90"/>
    </row>
    <row r="183" spans="3:15" x14ac:dyDescent="0.3">
      <c r="C183" s="117">
        <v>165</v>
      </c>
      <c r="D183" s="136" t="s">
        <v>650</v>
      </c>
      <c r="E183" s="136" t="s">
        <v>200</v>
      </c>
      <c r="F183" s="136">
        <v>69</v>
      </c>
      <c r="G183" s="136" t="s">
        <v>195</v>
      </c>
      <c r="H183" s="136">
        <v>2</v>
      </c>
      <c r="I183" s="136">
        <v>4</v>
      </c>
      <c r="K183" s="90"/>
      <c r="L183" s="90"/>
      <c r="M183" s="90"/>
      <c r="N183" s="90"/>
      <c r="O183" s="90"/>
    </row>
    <row r="184" spans="3:15" x14ac:dyDescent="0.3">
      <c r="C184" s="117">
        <v>166</v>
      </c>
      <c r="D184" s="136" t="s">
        <v>650</v>
      </c>
      <c r="E184" s="136" t="s">
        <v>200</v>
      </c>
      <c r="F184" s="136">
        <v>77</v>
      </c>
      <c r="G184" s="136" t="s">
        <v>202</v>
      </c>
      <c r="H184" s="136">
        <v>0</v>
      </c>
      <c r="I184" s="136">
        <v>0</v>
      </c>
      <c r="K184" s="90"/>
      <c r="L184" s="90"/>
      <c r="M184" s="90"/>
      <c r="N184" s="90"/>
      <c r="O184" s="90"/>
    </row>
    <row r="185" spans="3:15" x14ac:dyDescent="0.3">
      <c r="C185" s="117">
        <v>167</v>
      </c>
      <c r="D185" s="136" t="s">
        <v>650</v>
      </c>
      <c r="E185" s="136" t="s">
        <v>68</v>
      </c>
      <c r="F185" s="136">
        <v>65</v>
      </c>
      <c r="G185" s="136" t="s">
        <v>195</v>
      </c>
      <c r="H185" s="136">
        <v>0</v>
      </c>
      <c r="I185" s="136">
        <v>0</v>
      </c>
      <c r="K185" s="90"/>
      <c r="L185" s="90"/>
      <c r="M185" s="90"/>
      <c r="N185" s="90"/>
      <c r="O185" s="90"/>
    </row>
    <row r="186" spans="3:15" x14ac:dyDescent="0.3">
      <c r="C186" s="117">
        <v>168</v>
      </c>
      <c r="D186" s="136" t="s">
        <v>650</v>
      </c>
      <c r="E186" s="136" t="s">
        <v>203</v>
      </c>
      <c r="F186" s="136">
        <v>67</v>
      </c>
      <c r="G186" s="136" t="s">
        <v>195</v>
      </c>
      <c r="H186" s="136">
        <v>0</v>
      </c>
      <c r="I186" s="136">
        <v>0</v>
      </c>
      <c r="K186" s="90"/>
      <c r="L186" s="90"/>
      <c r="M186" s="90"/>
      <c r="N186" s="90"/>
      <c r="O186" s="90"/>
    </row>
    <row r="187" spans="3:15" x14ac:dyDescent="0.3">
      <c r="C187" s="117">
        <v>169</v>
      </c>
      <c r="D187" s="136" t="s">
        <v>650</v>
      </c>
      <c r="E187" s="136" t="s">
        <v>68</v>
      </c>
      <c r="F187" s="136">
        <v>79</v>
      </c>
      <c r="G187" s="136" t="s">
        <v>195</v>
      </c>
      <c r="H187" s="136">
        <v>1</v>
      </c>
      <c r="I187" s="136">
        <v>1</v>
      </c>
      <c r="K187" s="90"/>
      <c r="L187" s="90"/>
      <c r="M187" s="90"/>
      <c r="N187" s="90"/>
      <c r="O187" s="90"/>
    </row>
    <row r="188" spans="3:15" x14ac:dyDescent="0.3">
      <c r="C188" s="117">
        <v>170</v>
      </c>
      <c r="D188" s="136" t="s">
        <v>650</v>
      </c>
      <c r="E188" s="136" t="s">
        <v>70</v>
      </c>
      <c r="F188" s="136">
        <v>75</v>
      </c>
      <c r="G188" s="136" t="s">
        <v>202</v>
      </c>
      <c r="H188" s="136">
        <v>0</v>
      </c>
      <c r="I188" s="136">
        <v>0</v>
      </c>
      <c r="K188" s="90"/>
      <c r="L188" s="90"/>
      <c r="M188" s="90"/>
      <c r="N188" s="90"/>
      <c r="O188" s="90"/>
    </row>
    <row r="189" spans="3:15" x14ac:dyDescent="0.3">
      <c r="C189" s="117">
        <v>171</v>
      </c>
      <c r="D189" s="136" t="s">
        <v>650</v>
      </c>
      <c r="E189" s="136" t="s">
        <v>202</v>
      </c>
      <c r="F189" s="136">
        <v>67</v>
      </c>
      <c r="G189" s="136" t="s">
        <v>202</v>
      </c>
      <c r="H189" s="136">
        <v>2</v>
      </c>
      <c r="I189" s="136">
        <v>3</v>
      </c>
      <c r="K189" s="90"/>
      <c r="L189" s="90"/>
      <c r="M189" s="90"/>
      <c r="N189" s="90"/>
      <c r="O189" s="90"/>
    </row>
    <row r="190" spans="3:15" x14ac:dyDescent="0.3">
      <c r="C190" s="117">
        <v>172</v>
      </c>
      <c r="D190" s="136" t="s">
        <v>650</v>
      </c>
      <c r="E190" s="136" t="s">
        <v>204</v>
      </c>
      <c r="F190" s="136">
        <v>66</v>
      </c>
      <c r="G190" s="136" t="s">
        <v>202</v>
      </c>
      <c r="H190" s="136">
        <v>0</v>
      </c>
      <c r="I190" s="136">
        <v>0</v>
      </c>
      <c r="K190" s="90"/>
      <c r="L190" s="90"/>
      <c r="M190" s="90"/>
      <c r="N190" s="90"/>
      <c r="O190" s="90"/>
    </row>
    <row r="191" spans="3:15" x14ac:dyDescent="0.3">
      <c r="C191" s="117">
        <v>173</v>
      </c>
      <c r="D191" s="136" t="s">
        <v>650</v>
      </c>
      <c r="E191" s="136" t="s">
        <v>68</v>
      </c>
      <c r="F191" s="136">
        <v>71</v>
      </c>
      <c r="G191" s="136" t="s">
        <v>195</v>
      </c>
      <c r="H191" s="136">
        <v>0</v>
      </c>
      <c r="I191" s="136">
        <v>0</v>
      </c>
      <c r="K191" s="90"/>
      <c r="L191" s="90"/>
      <c r="M191" s="90"/>
      <c r="N191" s="90"/>
      <c r="O191" s="90"/>
    </row>
    <row r="192" spans="3:15" x14ac:dyDescent="0.3">
      <c r="C192" s="117">
        <v>174</v>
      </c>
      <c r="D192" s="136" t="s">
        <v>650</v>
      </c>
      <c r="E192" s="136" t="s">
        <v>204</v>
      </c>
      <c r="F192" s="136">
        <v>73</v>
      </c>
      <c r="G192" s="136" t="s">
        <v>202</v>
      </c>
      <c r="H192" s="136">
        <v>0</v>
      </c>
      <c r="I192" s="136">
        <v>0</v>
      </c>
      <c r="K192" s="90"/>
      <c r="L192" s="90"/>
      <c r="M192" s="90"/>
      <c r="N192" s="90"/>
      <c r="O192" s="90"/>
    </row>
    <row r="193" spans="3:15" x14ac:dyDescent="0.3">
      <c r="C193" s="117">
        <v>175</v>
      </c>
      <c r="D193" s="136" t="s">
        <v>650</v>
      </c>
      <c r="E193" s="136" t="s">
        <v>68</v>
      </c>
      <c r="F193" s="136">
        <v>80</v>
      </c>
      <c r="G193" s="136" t="s">
        <v>202</v>
      </c>
      <c r="H193" s="136">
        <v>1</v>
      </c>
      <c r="I193" s="136">
        <v>0</v>
      </c>
      <c r="K193" s="90"/>
      <c r="L193" s="90"/>
      <c r="M193" s="90"/>
      <c r="N193" s="90"/>
      <c r="O193" s="90"/>
    </row>
    <row r="194" spans="3:15" x14ac:dyDescent="0.3">
      <c r="C194" s="117">
        <v>176</v>
      </c>
      <c r="D194" s="136" t="s">
        <v>650</v>
      </c>
      <c r="E194" s="136" t="s">
        <v>198</v>
      </c>
      <c r="F194" s="136">
        <v>80</v>
      </c>
      <c r="G194" s="136" t="s">
        <v>202</v>
      </c>
      <c r="H194" s="136">
        <v>2</v>
      </c>
      <c r="I194" s="136">
        <v>3</v>
      </c>
      <c r="K194" s="90"/>
      <c r="L194" s="90"/>
      <c r="M194" s="90"/>
      <c r="N194" s="90"/>
      <c r="O194" s="90"/>
    </row>
    <row r="195" spans="3:15" x14ac:dyDescent="0.3">
      <c r="C195" s="117">
        <v>177</v>
      </c>
      <c r="D195" s="136" t="s">
        <v>650</v>
      </c>
      <c r="E195" s="136" t="s">
        <v>70</v>
      </c>
      <c r="F195" s="136">
        <v>69</v>
      </c>
      <c r="G195" s="136" t="s">
        <v>195</v>
      </c>
      <c r="H195" s="136">
        <v>0</v>
      </c>
      <c r="I195" s="136">
        <v>0</v>
      </c>
      <c r="K195" s="90"/>
      <c r="L195" s="90"/>
      <c r="M195" s="90"/>
      <c r="N195" s="90"/>
      <c r="O195" s="90"/>
    </row>
    <row r="196" spans="3:15" x14ac:dyDescent="0.3">
      <c r="C196" s="117">
        <v>178</v>
      </c>
      <c r="D196" s="136" t="s">
        <v>650</v>
      </c>
      <c r="E196" s="136" t="s">
        <v>69</v>
      </c>
      <c r="F196" s="136">
        <v>74</v>
      </c>
      <c r="G196" s="136" t="s">
        <v>202</v>
      </c>
      <c r="H196" s="136">
        <v>1</v>
      </c>
      <c r="I196" s="136">
        <v>2</v>
      </c>
      <c r="K196" s="90"/>
      <c r="L196" s="90"/>
      <c r="M196" s="90"/>
      <c r="N196" s="90"/>
      <c r="O196" s="90"/>
    </row>
    <row r="197" spans="3:15" x14ac:dyDescent="0.3">
      <c r="C197" s="117">
        <v>179</v>
      </c>
      <c r="D197" s="136" t="s">
        <v>650</v>
      </c>
      <c r="E197" s="136" t="s">
        <v>70</v>
      </c>
      <c r="F197" s="136">
        <v>65</v>
      </c>
      <c r="G197" s="136" t="s">
        <v>195</v>
      </c>
      <c r="H197" s="136">
        <v>1</v>
      </c>
      <c r="I197" s="136">
        <v>2</v>
      </c>
      <c r="K197" s="90"/>
      <c r="L197" s="90"/>
      <c r="M197" s="90"/>
      <c r="N197" s="90"/>
      <c r="O197" s="90"/>
    </row>
    <row r="198" spans="3:15" x14ac:dyDescent="0.3">
      <c r="C198" s="117">
        <v>180</v>
      </c>
      <c r="D198" s="136" t="s">
        <v>650</v>
      </c>
      <c r="E198" s="136" t="s">
        <v>199</v>
      </c>
      <c r="F198" s="136">
        <v>76</v>
      </c>
      <c r="G198" s="136" t="s">
        <v>202</v>
      </c>
      <c r="H198" s="136">
        <v>1</v>
      </c>
      <c r="I198" s="136">
        <v>0</v>
      </c>
      <c r="K198" s="90"/>
      <c r="L198" s="90"/>
      <c r="M198" s="90"/>
      <c r="N198" s="90"/>
      <c r="O198" s="90"/>
    </row>
    <row r="199" spans="3:15" x14ac:dyDescent="0.3">
      <c r="C199" s="117">
        <v>181</v>
      </c>
      <c r="D199" s="136" t="s">
        <v>650</v>
      </c>
      <c r="E199" s="136" t="s">
        <v>68</v>
      </c>
      <c r="F199" s="136">
        <v>75</v>
      </c>
      <c r="G199" s="136" t="s">
        <v>195</v>
      </c>
      <c r="H199" s="136">
        <v>1</v>
      </c>
      <c r="I199" s="136">
        <v>1</v>
      </c>
      <c r="K199" s="90"/>
      <c r="L199" s="90"/>
      <c r="M199" s="90"/>
      <c r="N199" s="90"/>
      <c r="O199" s="90"/>
    </row>
    <row r="200" spans="3:15" x14ac:dyDescent="0.3">
      <c r="C200" s="117">
        <v>182</v>
      </c>
      <c r="D200" s="136" t="s">
        <v>650</v>
      </c>
      <c r="E200" s="136" t="s">
        <v>200</v>
      </c>
      <c r="F200" s="136">
        <v>74</v>
      </c>
      <c r="G200" s="136" t="s">
        <v>202</v>
      </c>
      <c r="H200" s="136">
        <v>0</v>
      </c>
      <c r="I200" s="136">
        <v>3</v>
      </c>
      <c r="K200" s="90"/>
      <c r="L200" s="90"/>
      <c r="M200" s="90"/>
      <c r="N200" s="90"/>
      <c r="O200" s="90"/>
    </row>
    <row r="201" spans="3:15" x14ac:dyDescent="0.3">
      <c r="C201" s="117">
        <v>183</v>
      </c>
      <c r="D201" s="136" t="s">
        <v>650</v>
      </c>
      <c r="E201" s="136" t="s">
        <v>199</v>
      </c>
      <c r="F201" s="136">
        <v>67</v>
      </c>
      <c r="G201" s="136" t="s">
        <v>195</v>
      </c>
      <c r="H201" s="136">
        <v>0</v>
      </c>
      <c r="I201" s="136">
        <v>0</v>
      </c>
      <c r="K201" s="90"/>
      <c r="L201" s="90"/>
      <c r="M201" s="90"/>
      <c r="N201" s="90"/>
      <c r="O201" s="90"/>
    </row>
    <row r="202" spans="3:15" x14ac:dyDescent="0.3">
      <c r="C202" s="117">
        <v>184</v>
      </c>
      <c r="D202" s="136" t="s">
        <v>650</v>
      </c>
      <c r="E202" s="136" t="s">
        <v>198</v>
      </c>
      <c r="F202" s="136">
        <v>72</v>
      </c>
      <c r="G202" s="136" t="s">
        <v>202</v>
      </c>
      <c r="H202" s="136">
        <v>0</v>
      </c>
      <c r="I202" s="136">
        <v>2</v>
      </c>
      <c r="K202" s="90"/>
      <c r="L202" s="90"/>
      <c r="M202" s="90"/>
      <c r="N202" s="90"/>
      <c r="O202" s="90"/>
    </row>
    <row r="203" spans="3:15" x14ac:dyDescent="0.3">
      <c r="C203" s="117">
        <v>185</v>
      </c>
      <c r="D203" s="136" t="s">
        <v>650</v>
      </c>
      <c r="E203" s="136" t="s">
        <v>69</v>
      </c>
      <c r="F203" s="136">
        <v>74</v>
      </c>
      <c r="G203" s="136" t="s">
        <v>195</v>
      </c>
      <c r="H203" s="136">
        <v>0</v>
      </c>
      <c r="I203" s="136">
        <v>0</v>
      </c>
      <c r="K203" s="90"/>
      <c r="L203" s="90"/>
      <c r="M203" s="90"/>
      <c r="N203" s="90"/>
      <c r="O203" s="90"/>
    </row>
    <row r="204" spans="3:15" x14ac:dyDescent="0.3">
      <c r="C204" s="117">
        <v>186</v>
      </c>
      <c r="D204" s="136" t="s">
        <v>650</v>
      </c>
      <c r="E204" s="136" t="s">
        <v>199</v>
      </c>
      <c r="F204" s="136">
        <v>70</v>
      </c>
      <c r="G204" s="136" t="s">
        <v>195</v>
      </c>
      <c r="H204" s="136">
        <v>2</v>
      </c>
      <c r="I204" s="136">
        <v>0</v>
      </c>
      <c r="K204" s="90"/>
      <c r="L204" s="90"/>
      <c r="M204" s="90"/>
      <c r="N204" s="90"/>
      <c r="O204" s="90"/>
    </row>
    <row r="205" spans="3:15" x14ac:dyDescent="0.3">
      <c r="C205" s="117">
        <v>187</v>
      </c>
      <c r="D205" s="136" t="s">
        <v>650</v>
      </c>
      <c r="E205" s="136" t="s">
        <v>201</v>
      </c>
      <c r="F205" s="136">
        <v>76</v>
      </c>
      <c r="G205" s="136" t="s">
        <v>202</v>
      </c>
      <c r="H205" s="136">
        <v>0</v>
      </c>
      <c r="I205" s="136">
        <v>0</v>
      </c>
      <c r="K205" s="90"/>
      <c r="L205" s="90"/>
      <c r="M205" s="90"/>
      <c r="N205" s="90"/>
      <c r="O205" s="90"/>
    </row>
    <row r="206" spans="3:15" x14ac:dyDescent="0.3">
      <c r="C206" s="117">
        <v>188</v>
      </c>
      <c r="D206" s="136" t="s">
        <v>650</v>
      </c>
      <c r="E206" s="136" t="s">
        <v>202</v>
      </c>
      <c r="F206" s="136">
        <v>71</v>
      </c>
      <c r="G206" s="136" t="s">
        <v>195</v>
      </c>
      <c r="H206" s="136">
        <v>0</v>
      </c>
      <c r="I206" s="136">
        <v>0</v>
      </c>
      <c r="K206" s="90"/>
      <c r="L206" s="90"/>
      <c r="M206" s="90"/>
      <c r="N206" s="90"/>
      <c r="O206" s="90"/>
    </row>
    <row r="207" spans="3:15" x14ac:dyDescent="0.3">
      <c r="C207" s="117">
        <v>189</v>
      </c>
      <c r="D207" s="136" t="s">
        <v>650</v>
      </c>
      <c r="E207" s="136" t="s">
        <v>199</v>
      </c>
      <c r="F207" s="136">
        <v>65</v>
      </c>
      <c r="G207" s="136" t="s">
        <v>202</v>
      </c>
      <c r="H207" s="136">
        <v>0</v>
      </c>
      <c r="I207" s="136">
        <v>0</v>
      </c>
      <c r="K207" s="90"/>
      <c r="L207" s="90"/>
      <c r="M207" s="90"/>
      <c r="N207" s="90"/>
      <c r="O207" s="90"/>
    </row>
    <row r="208" spans="3:15" x14ac:dyDescent="0.3">
      <c r="C208" s="117">
        <v>190</v>
      </c>
      <c r="D208" s="136" t="s">
        <v>650</v>
      </c>
      <c r="E208" s="136" t="s">
        <v>70</v>
      </c>
      <c r="F208" s="136">
        <v>67</v>
      </c>
      <c r="G208" s="136" t="s">
        <v>195</v>
      </c>
      <c r="H208" s="136">
        <v>0</v>
      </c>
      <c r="I208" s="136">
        <v>1</v>
      </c>
      <c r="K208" s="90"/>
      <c r="L208" s="90"/>
      <c r="M208" s="90"/>
      <c r="N208" s="90"/>
      <c r="O208" s="90"/>
    </row>
    <row r="209" spans="3:15" x14ac:dyDescent="0.3">
      <c r="C209" s="117">
        <v>191</v>
      </c>
      <c r="D209" s="136" t="s">
        <v>650</v>
      </c>
      <c r="E209" s="136" t="s">
        <v>70</v>
      </c>
      <c r="F209" s="136">
        <v>70</v>
      </c>
      <c r="G209" s="136" t="s">
        <v>202</v>
      </c>
      <c r="H209" s="136">
        <v>1</v>
      </c>
      <c r="I209" s="136">
        <v>1</v>
      </c>
      <c r="K209" s="90"/>
      <c r="L209" s="90"/>
      <c r="M209" s="90"/>
      <c r="N209" s="90"/>
      <c r="O209" s="90"/>
    </row>
    <row r="210" spans="3:15" x14ac:dyDescent="0.3">
      <c r="C210" s="117">
        <v>192</v>
      </c>
      <c r="D210" s="136" t="s">
        <v>650</v>
      </c>
      <c r="E210" s="136" t="s">
        <v>203</v>
      </c>
      <c r="F210" s="136">
        <v>74</v>
      </c>
      <c r="G210" s="136" t="s">
        <v>202</v>
      </c>
      <c r="H210" s="136">
        <v>0</v>
      </c>
      <c r="I210" s="136">
        <v>0</v>
      </c>
      <c r="K210" s="90"/>
      <c r="L210" s="90"/>
      <c r="M210" s="90"/>
      <c r="N210" s="90"/>
      <c r="O210" s="90"/>
    </row>
    <row r="211" spans="3:15" x14ac:dyDescent="0.3">
      <c r="C211" s="117">
        <v>193</v>
      </c>
      <c r="D211" s="136" t="s">
        <v>650</v>
      </c>
      <c r="E211" s="136" t="s">
        <v>199</v>
      </c>
      <c r="F211" s="136">
        <v>73</v>
      </c>
      <c r="G211" s="136" t="s">
        <v>195</v>
      </c>
      <c r="H211" s="136">
        <v>1</v>
      </c>
      <c r="I211" s="136">
        <v>4</v>
      </c>
      <c r="K211" s="90"/>
      <c r="L211" s="90"/>
      <c r="M211" s="90"/>
      <c r="N211" s="90"/>
      <c r="O211" s="90"/>
    </row>
    <row r="212" spans="3:15" x14ac:dyDescent="0.3">
      <c r="C212" s="117">
        <v>194</v>
      </c>
      <c r="D212" s="136" t="s">
        <v>650</v>
      </c>
      <c r="E212" s="136" t="s">
        <v>68</v>
      </c>
      <c r="F212" s="136">
        <v>69</v>
      </c>
      <c r="G212" s="136" t="s">
        <v>202</v>
      </c>
      <c r="H212" s="136">
        <v>0</v>
      </c>
      <c r="I212" s="136">
        <v>0</v>
      </c>
      <c r="K212" s="90"/>
      <c r="L212" s="90"/>
      <c r="M212" s="90"/>
      <c r="N212" s="90"/>
      <c r="O212" s="90"/>
    </row>
    <row r="213" spans="3:15" x14ac:dyDescent="0.3">
      <c r="C213" s="117">
        <v>195</v>
      </c>
      <c r="D213" s="136" t="s">
        <v>650</v>
      </c>
      <c r="E213" s="136" t="s">
        <v>202</v>
      </c>
      <c r="F213" s="136">
        <v>65</v>
      </c>
      <c r="G213" s="136" t="s">
        <v>195</v>
      </c>
      <c r="H213" s="136">
        <v>0</v>
      </c>
      <c r="I213" s="136">
        <v>3</v>
      </c>
      <c r="K213" s="90"/>
      <c r="L213" s="90"/>
      <c r="M213" s="90"/>
      <c r="N213" s="90"/>
      <c r="O213" s="90"/>
    </row>
    <row r="214" spans="3:15" x14ac:dyDescent="0.3">
      <c r="C214" s="117">
        <v>196</v>
      </c>
      <c r="D214" s="136" t="s">
        <v>650</v>
      </c>
      <c r="E214" s="136" t="s">
        <v>69</v>
      </c>
      <c r="F214" s="136">
        <v>73</v>
      </c>
      <c r="G214" s="136" t="s">
        <v>202</v>
      </c>
      <c r="H214" s="136">
        <v>1</v>
      </c>
      <c r="I214" s="136">
        <v>0</v>
      </c>
      <c r="K214" s="90"/>
      <c r="L214" s="90"/>
      <c r="M214" s="90"/>
      <c r="N214" s="90"/>
      <c r="O214" s="90"/>
    </row>
    <row r="215" spans="3:15" x14ac:dyDescent="0.3">
      <c r="C215" s="117">
        <v>197</v>
      </c>
      <c r="D215" s="136" t="s">
        <v>650</v>
      </c>
      <c r="E215" s="136" t="s">
        <v>68</v>
      </c>
      <c r="F215" s="136">
        <v>80</v>
      </c>
      <c r="G215" s="136" t="s">
        <v>202</v>
      </c>
      <c r="H215" s="136">
        <v>1</v>
      </c>
      <c r="I215" s="136">
        <v>3</v>
      </c>
      <c r="K215" s="90"/>
      <c r="L215" s="90"/>
      <c r="M215" s="90"/>
      <c r="N215" s="90"/>
      <c r="O215" s="90"/>
    </row>
    <row r="216" spans="3:15" x14ac:dyDescent="0.3">
      <c r="C216" s="117">
        <v>198</v>
      </c>
      <c r="D216" s="136" t="s">
        <v>650</v>
      </c>
      <c r="E216" s="136" t="s">
        <v>200</v>
      </c>
      <c r="F216" s="136">
        <v>79</v>
      </c>
      <c r="G216" s="136" t="s">
        <v>195</v>
      </c>
      <c r="H216" s="136">
        <v>0</v>
      </c>
      <c r="I216" s="136">
        <v>0</v>
      </c>
      <c r="K216" s="90"/>
      <c r="L216" s="90"/>
      <c r="M216" s="90"/>
      <c r="N216" s="90"/>
      <c r="O216" s="90"/>
    </row>
    <row r="217" spans="3:15" x14ac:dyDescent="0.3">
      <c r="C217" s="117">
        <v>199</v>
      </c>
      <c r="D217" s="136" t="s">
        <v>650</v>
      </c>
      <c r="E217" s="136" t="s">
        <v>70</v>
      </c>
      <c r="F217" s="136">
        <v>76</v>
      </c>
      <c r="G217" s="136" t="s">
        <v>195</v>
      </c>
      <c r="H217" s="136">
        <v>0</v>
      </c>
      <c r="I217" s="136">
        <v>0</v>
      </c>
      <c r="K217" s="90"/>
      <c r="L217" s="90"/>
      <c r="M217" s="90"/>
      <c r="N217" s="90"/>
      <c r="O217" s="90"/>
    </row>
    <row r="218" spans="3:15" x14ac:dyDescent="0.3">
      <c r="C218" s="117">
        <v>200</v>
      </c>
      <c r="D218" s="136" t="s">
        <v>650</v>
      </c>
      <c r="E218" s="136" t="s">
        <v>200</v>
      </c>
      <c r="F218" s="136">
        <v>71</v>
      </c>
      <c r="G218" s="136" t="s">
        <v>202</v>
      </c>
      <c r="H218" s="136">
        <v>1</v>
      </c>
      <c r="I218" s="136">
        <v>0</v>
      </c>
      <c r="K218" s="90"/>
      <c r="L218" s="90"/>
      <c r="M218" s="90"/>
      <c r="N218" s="90"/>
      <c r="O218" s="90"/>
    </row>
    <row r="219" spans="3:15" x14ac:dyDescent="0.3">
      <c r="C219" s="117">
        <v>201</v>
      </c>
      <c r="D219" s="136" t="s">
        <v>650</v>
      </c>
      <c r="E219" s="136" t="s">
        <v>201</v>
      </c>
      <c r="F219" s="136">
        <v>73</v>
      </c>
      <c r="G219" s="136" t="s">
        <v>202</v>
      </c>
      <c r="H219" s="136">
        <v>0</v>
      </c>
      <c r="I219" s="136">
        <v>0</v>
      </c>
      <c r="K219" s="90"/>
      <c r="L219" s="90"/>
      <c r="M219" s="90"/>
      <c r="N219" s="90"/>
      <c r="O219" s="90"/>
    </row>
    <row r="220" spans="3:15" x14ac:dyDescent="0.3">
      <c r="C220" s="117">
        <v>202</v>
      </c>
      <c r="D220" s="136" t="s">
        <v>650</v>
      </c>
      <c r="E220" s="136" t="s">
        <v>68</v>
      </c>
      <c r="F220" s="136">
        <v>75</v>
      </c>
      <c r="G220" s="136" t="s">
        <v>202</v>
      </c>
      <c r="H220" s="136">
        <v>0</v>
      </c>
      <c r="I220" s="136">
        <v>0</v>
      </c>
      <c r="K220" s="90"/>
      <c r="L220" s="90"/>
      <c r="M220" s="90"/>
      <c r="N220" s="90"/>
      <c r="O220" s="90"/>
    </row>
    <row r="221" spans="3:15" x14ac:dyDescent="0.3">
      <c r="C221" s="117">
        <v>203</v>
      </c>
      <c r="D221" s="136" t="s">
        <v>650</v>
      </c>
      <c r="E221" s="136" t="s">
        <v>68</v>
      </c>
      <c r="F221" s="136">
        <v>76</v>
      </c>
      <c r="G221" s="136" t="s">
        <v>195</v>
      </c>
      <c r="H221" s="136">
        <v>0</v>
      </c>
      <c r="I221" s="136">
        <v>0</v>
      </c>
      <c r="K221" s="90"/>
      <c r="L221" s="90"/>
      <c r="M221" s="90"/>
      <c r="N221" s="90"/>
      <c r="O221" s="90"/>
    </row>
    <row r="222" spans="3:15" x14ac:dyDescent="0.3">
      <c r="C222" s="117">
        <v>204</v>
      </c>
      <c r="D222" s="136" t="s">
        <v>650</v>
      </c>
      <c r="E222" s="136" t="s">
        <v>204</v>
      </c>
      <c r="F222" s="136">
        <v>70</v>
      </c>
      <c r="G222" s="136" t="s">
        <v>202</v>
      </c>
      <c r="H222" s="136">
        <v>0</v>
      </c>
      <c r="I222" s="136">
        <v>0</v>
      </c>
      <c r="K222" s="90"/>
      <c r="L222" s="90"/>
      <c r="M222" s="90"/>
      <c r="N222" s="90"/>
      <c r="O222" s="90"/>
    </row>
    <row r="223" spans="3:15" x14ac:dyDescent="0.3">
      <c r="C223" s="117">
        <v>205</v>
      </c>
      <c r="D223" s="136" t="s">
        <v>650</v>
      </c>
      <c r="E223" s="136" t="s">
        <v>68</v>
      </c>
      <c r="F223" s="136">
        <v>68</v>
      </c>
      <c r="G223" s="136" t="s">
        <v>195</v>
      </c>
      <c r="H223" s="136">
        <v>0</v>
      </c>
      <c r="I223" s="136">
        <v>1</v>
      </c>
      <c r="K223" s="90"/>
      <c r="L223" s="90"/>
      <c r="M223" s="90"/>
      <c r="N223" s="90"/>
      <c r="O223" s="90"/>
    </row>
    <row r="224" spans="3:15" x14ac:dyDescent="0.3">
      <c r="C224" s="117">
        <v>206</v>
      </c>
      <c r="D224" s="136" t="s">
        <v>650</v>
      </c>
      <c r="E224" s="136" t="s">
        <v>203</v>
      </c>
      <c r="F224" s="136">
        <v>72</v>
      </c>
      <c r="G224" s="136" t="s">
        <v>195</v>
      </c>
      <c r="H224" s="136">
        <v>0</v>
      </c>
      <c r="I224" s="136">
        <v>0</v>
      </c>
      <c r="K224" s="90"/>
      <c r="L224" s="90"/>
      <c r="M224" s="90"/>
      <c r="N224" s="90"/>
      <c r="O224" s="90"/>
    </row>
    <row r="225" spans="3:15" x14ac:dyDescent="0.3">
      <c r="C225" s="117">
        <v>207</v>
      </c>
      <c r="D225" s="136" t="s">
        <v>650</v>
      </c>
      <c r="E225" s="136" t="s">
        <v>69</v>
      </c>
      <c r="F225" s="136">
        <v>68</v>
      </c>
      <c r="G225" s="136" t="s">
        <v>195</v>
      </c>
      <c r="H225" s="136">
        <v>0</v>
      </c>
      <c r="I225" s="136">
        <v>0</v>
      </c>
      <c r="K225" s="90"/>
      <c r="L225" s="90"/>
      <c r="M225" s="90"/>
      <c r="N225" s="90"/>
      <c r="O225" s="90"/>
    </row>
    <row r="226" spans="3:15" x14ac:dyDescent="0.3">
      <c r="C226" s="117">
        <v>208</v>
      </c>
      <c r="D226" s="136" t="s">
        <v>650</v>
      </c>
      <c r="E226" s="136" t="s">
        <v>199</v>
      </c>
      <c r="F226" s="136">
        <v>68</v>
      </c>
      <c r="G226" s="136" t="s">
        <v>202</v>
      </c>
      <c r="H226" s="136">
        <v>0</v>
      </c>
      <c r="I226" s="136">
        <v>0</v>
      </c>
      <c r="K226" s="90"/>
      <c r="L226" s="90"/>
      <c r="M226" s="90"/>
      <c r="N226" s="90"/>
      <c r="O226" s="90"/>
    </row>
    <row r="227" spans="3:15" x14ac:dyDescent="0.3">
      <c r="C227" s="117">
        <v>209</v>
      </c>
      <c r="D227" s="136" t="s">
        <v>650</v>
      </c>
      <c r="E227" s="136" t="s">
        <v>69</v>
      </c>
      <c r="F227" s="136">
        <v>72</v>
      </c>
      <c r="G227" s="136" t="s">
        <v>195</v>
      </c>
      <c r="H227" s="136">
        <v>0</v>
      </c>
      <c r="I227" s="136">
        <v>0</v>
      </c>
      <c r="K227" s="90"/>
      <c r="L227" s="90"/>
      <c r="M227" s="90"/>
      <c r="N227" s="90"/>
      <c r="O227" s="90"/>
    </row>
    <row r="228" spans="3:15" x14ac:dyDescent="0.3">
      <c r="C228" s="117">
        <v>210</v>
      </c>
      <c r="D228" s="136" t="s">
        <v>650</v>
      </c>
      <c r="E228" s="136" t="s">
        <v>70</v>
      </c>
      <c r="F228" s="136">
        <v>78</v>
      </c>
      <c r="G228" s="136" t="s">
        <v>195</v>
      </c>
      <c r="H228" s="136">
        <v>0</v>
      </c>
      <c r="I228" s="136">
        <v>0</v>
      </c>
      <c r="K228" s="90"/>
      <c r="L228" s="90"/>
      <c r="M228" s="90"/>
      <c r="N228" s="90"/>
      <c r="O228" s="90"/>
    </row>
    <row r="229" spans="3:15" x14ac:dyDescent="0.3">
      <c r="C229" s="117">
        <v>211</v>
      </c>
      <c r="D229" s="136" t="s">
        <v>650</v>
      </c>
      <c r="E229" s="136" t="s">
        <v>201</v>
      </c>
      <c r="F229" s="136">
        <v>75</v>
      </c>
      <c r="G229" s="136" t="s">
        <v>202</v>
      </c>
      <c r="H229" s="136">
        <v>0</v>
      </c>
      <c r="I229" s="136">
        <v>0</v>
      </c>
      <c r="K229" s="90"/>
      <c r="L229" s="90"/>
      <c r="M229" s="90"/>
      <c r="N229" s="90"/>
      <c r="O229" s="90"/>
    </row>
    <row r="230" spans="3:15" x14ac:dyDescent="0.3">
      <c r="C230" s="117">
        <v>212</v>
      </c>
      <c r="D230" s="136" t="s">
        <v>650</v>
      </c>
      <c r="E230" s="136" t="s">
        <v>200</v>
      </c>
      <c r="F230" s="136">
        <v>76</v>
      </c>
      <c r="G230" s="136" t="s">
        <v>202</v>
      </c>
      <c r="H230" s="136">
        <v>2</v>
      </c>
      <c r="I230" s="136">
        <v>4</v>
      </c>
      <c r="K230" s="90"/>
      <c r="L230" s="90"/>
      <c r="M230" s="90"/>
      <c r="N230" s="90"/>
      <c r="O230" s="90"/>
    </row>
    <row r="231" spans="3:15" x14ac:dyDescent="0.3">
      <c r="C231" s="117">
        <v>213</v>
      </c>
      <c r="D231" s="136" t="s">
        <v>650</v>
      </c>
      <c r="E231" s="136" t="s">
        <v>204</v>
      </c>
      <c r="F231" s="136">
        <v>70</v>
      </c>
      <c r="G231" s="136" t="s">
        <v>202</v>
      </c>
      <c r="H231" s="136">
        <v>0</v>
      </c>
      <c r="I231" s="136">
        <v>0</v>
      </c>
      <c r="K231" s="90"/>
      <c r="L231" s="90"/>
      <c r="M231" s="90"/>
      <c r="N231" s="90"/>
      <c r="O231" s="90"/>
    </row>
    <row r="232" spans="3:15" x14ac:dyDescent="0.3">
      <c r="C232" s="117">
        <v>214</v>
      </c>
      <c r="D232" s="136" t="s">
        <v>650</v>
      </c>
      <c r="E232" s="136" t="s">
        <v>198</v>
      </c>
      <c r="F232" s="136">
        <v>76</v>
      </c>
      <c r="G232" s="136" t="s">
        <v>202</v>
      </c>
      <c r="H232" s="136">
        <v>0</v>
      </c>
      <c r="I232" s="136">
        <v>0</v>
      </c>
      <c r="K232" s="90"/>
      <c r="L232" s="90"/>
      <c r="M232" s="90"/>
      <c r="N232" s="90"/>
      <c r="O232" s="90"/>
    </row>
    <row r="233" spans="3:15" x14ac:dyDescent="0.3">
      <c r="C233" s="117">
        <v>215</v>
      </c>
      <c r="D233" s="136" t="s">
        <v>650</v>
      </c>
      <c r="E233" s="136" t="s">
        <v>69</v>
      </c>
      <c r="F233" s="136">
        <v>68</v>
      </c>
      <c r="G233" s="136" t="s">
        <v>202</v>
      </c>
      <c r="H233" s="136">
        <v>0</v>
      </c>
      <c r="I233" s="136">
        <v>0</v>
      </c>
      <c r="K233" s="90"/>
      <c r="L233" s="90"/>
      <c r="M233" s="90"/>
      <c r="N233" s="90"/>
      <c r="O233" s="90"/>
    </row>
    <row r="234" spans="3:15" x14ac:dyDescent="0.3">
      <c r="C234" s="117">
        <v>216</v>
      </c>
      <c r="D234" s="136" t="s">
        <v>650</v>
      </c>
      <c r="E234" s="136" t="s">
        <v>201</v>
      </c>
      <c r="F234" s="136">
        <v>79</v>
      </c>
      <c r="G234" s="136" t="s">
        <v>195</v>
      </c>
      <c r="H234" s="136">
        <v>1</v>
      </c>
      <c r="I234" s="136">
        <v>2</v>
      </c>
      <c r="K234" s="90"/>
      <c r="L234" s="90"/>
      <c r="M234" s="90"/>
      <c r="N234" s="90"/>
      <c r="O234" s="90"/>
    </row>
    <row r="235" spans="3:15" x14ac:dyDescent="0.3">
      <c r="C235" s="117">
        <v>217</v>
      </c>
      <c r="D235" s="136" t="s">
        <v>650</v>
      </c>
      <c r="E235" s="136" t="s">
        <v>198</v>
      </c>
      <c r="F235" s="136">
        <v>72</v>
      </c>
      <c r="G235" s="136" t="s">
        <v>195</v>
      </c>
      <c r="H235" s="136">
        <v>2</v>
      </c>
      <c r="I235" s="136">
        <v>2</v>
      </c>
      <c r="K235" s="90"/>
      <c r="L235" s="90"/>
      <c r="M235" s="90"/>
      <c r="N235" s="90"/>
      <c r="O235" s="90"/>
    </row>
    <row r="236" spans="3:15" x14ac:dyDescent="0.3">
      <c r="C236" s="117">
        <v>218</v>
      </c>
      <c r="D236" s="136" t="s">
        <v>650</v>
      </c>
      <c r="E236" s="136" t="s">
        <v>68</v>
      </c>
      <c r="F236" s="136">
        <v>78</v>
      </c>
      <c r="G236" s="136" t="s">
        <v>195</v>
      </c>
      <c r="H236" s="136">
        <v>1</v>
      </c>
      <c r="I236" s="136">
        <v>0</v>
      </c>
      <c r="K236" s="90"/>
      <c r="L236" s="90"/>
      <c r="M236" s="90"/>
      <c r="N236" s="90"/>
      <c r="O236" s="90"/>
    </row>
    <row r="237" spans="3:15" x14ac:dyDescent="0.3">
      <c r="C237" s="117">
        <v>219</v>
      </c>
      <c r="D237" s="136" t="s">
        <v>650</v>
      </c>
      <c r="E237" s="136" t="s">
        <v>199</v>
      </c>
      <c r="F237" s="136">
        <v>65</v>
      </c>
      <c r="G237" s="136" t="s">
        <v>195</v>
      </c>
      <c r="H237" s="136">
        <v>0</v>
      </c>
      <c r="I237" s="136">
        <v>0</v>
      </c>
      <c r="K237" s="90"/>
      <c r="L237" s="90"/>
      <c r="M237" s="90"/>
      <c r="N237" s="90"/>
      <c r="O237" s="90"/>
    </row>
    <row r="238" spans="3:15" x14ac:dyDescent="0.3">
      <c r="C238" s="117">
        <v>220</v>
      </c>
      <c r="D238" s="136" t="s">
        <v>650</v>
      </c>
      <c r="E238" s="136" t="s">
        <v>199</v>
      </c>
      <c r="F238" s="136">
        <v>70</v>
      </c>
      <c r="G238" s="136" t="s">
        <v>202</v>
      </c>
      <c r="H238" s="136">
        <v>1</v>
      </c>
      <c r="I238" s="136">
        <v>0</v>
      </c>
      <c r="K238" s="90"/>
      <c r="L238" s="90"/>
      <c r="M238" s="90"/>
      <c r="N238" s="90"/>
      <c r="O238" s="90"/>
    </row>
    <row r="239" spans="3:15" x14ac:dyDescent="0.3">
      <c r="C239" s="117">
        <v>221</v>
      </c>
      <c r="D239" s="136" t="s">
        <v>650</v>
      </c>
      <c r="E239" s="136" t="s">
        <v>68</v>
      </c>
      <c r="F239" s="136">
        <v>79</v>
      </c>
      <c r="G239" s="136" t="s">
        <v>202</v>
      </c>
      <c r="H239" s="136">
        <v>0</v>
      </c>
      <c r="I239" s="136">
        <v>0</v>
      </c>
      <c r="K239" s="90"/>
      <c r="L239" s="90"/>
      <c r="M239" s="90"/>
      <c r="N239" s="90"/>
      <c r="O239" s="90"/>
    </row>
    <row r="240" spans="3:15" x14ac:dyDescent="0.3">
      <c r="C240" s="117">
        <v>222</v>
      </c>
      <c r="D240" s="136" t="s">
        <v>650</v>
      </c>
      <c r="E240" s="136" t="s">
        <v>200</v>
      </c>
      <c r="F240" s="136">
        <v>65</v>
      </c>
      <c r="G240" s="136" t="s">
        <v>195</v>
      </c>
      <c r="H240" s="136">
        <v>0</v>
      </c>
      <c r="I240" s="136">
        <v>0</v>
      </c>
      <c r="K240" s="90"/>
      <c r="L240" s="90"/>
      <c r="M240" s="90"/>
      <c r="N240" s="90"/>
      <c r="O240" s="90"/>
    </row>
    <row r="241" spans="3:15" x14ac:dyDescent="0.3">
      <c r="C241" s="117">
        <v>223</v>
      </c>
      <c r="D241" s="136" t="s">
        <v>650</v>
      </c>
      <c r="E241" s="136" t="s">
        <v>199</v>
      </c>
      <c r="F241" s="136">
        <v>74</v>
      </c>
      <c r="G241" s="136" t="s">
        <v>195</v>
      </c>
      <c r="H241" s="136">
        <v>0</v>
      </c>
      <c r="I241" s="136">
        <v>0</v>
      </c>
      <c r="K241" s="90"/>
      <c r="L241" s="90"/>
      <c r="M241" s="90"/>
      <c r="N241" s="90"/>
      <c r="O241" s="90"/>
    </row>
    <row r="242" spans="3:15" x14ac:dyDescent="0.3">
      <c r="C242" s="117">
        <v>224</v>
      </c>
      <c r="D242" s="136" t="s">
        <v>650</v>
      </c>
      <c r="E242" s="136" t="s">
        <v>69</v>
      </c>
      <c r="F242" s="136">
        <v>71</v>
      </c>
      <c r="G242" s="136" t="s">
        <v>195</v>
      </c>
      <c r="H242" s="136">
        <v>0</v>
      </c>
      <c r="I242" s="136">
        <v>2</v>
      </c>
      <c r="K242" s="90"/>
      <c r="L242" s="90"/>
      <c r="M242" s="90"/>
      <c r="N242" s="90"/>
      <c r="O242" s="90"/>
    </row>
    <row r="243" spans="3:15" x14ac:dyDescent="0.3">
      <c r="C243" s="117">
        <v>225</v>
      </c>
      <c r="D243" s="136" t="s">
        <v>650</v>
      </c>
      <c r="E243" s="136" t="s">
        <v>201</v>
      </c>
      <c r="F243" s="136">
        <v>75</v>
      </c>
      <c r="G243" s="136" t="s">
        <v>202</v>
      </c>
      <c r="H243" s="136">
        <v>0</v>
      </c>
      <c r="I243" s="136">
        <v>0</v>
      </c>
      <c r="K243" s="90"/>
      <c r="L243" s="90"/>
      <c r="M243" s="90"/>
      <c r="N243" s="90"/>
      <c r="O243" s="90"/>
    </row>
    <row r="244" spans="3:15" x14ac:dyDescent="0.3">
      <c r="C244" s="117">
        <v>226</v>
      </c>
      <c r="D244" s="136" t="s">
        <v>650</v>
      </c>
      <c r="E244" s="136" t="s">
        <v>198</v>
      </c>
      <c r="F244" s="136">
        <v>65</v>
      </c>
      <c r="G244" s="136" t="s">
        <v>202</v>
      </c>
      <c r="H244" s="136">
        <v>1</v>
      </c>
      <c r="I244" s="136">
        <v>0</v>
      </c>
      <c r="K244" s="90"/>
      <c r="L244" s="90"/>
      <c r="M244" s="90"/>
      <c r="N244" s="90"/>
      <c r="O244" s="90"/>
    </row>
    <row r="245" spans="3:15" x14ac:dyDescent="0.3">
      <c r="C245" s="117">
        <v>227</v>
      </c>
      <c r="D245" s="136" t="s">
        <v>650</v>
      </c>
      <c r="E245" s="136" t="s">
        <v>202</v>
      </c>
      <c r="F245" s="136">
        <v>74</v>
      </c>
      <c r="G245" s="136" t="s">
        <v>195</v>
      </c>
      <c r="H245" s="136">
        <v>1</v>
      </c>
      <c r="I245" s="136">
        <v>3</v>
      </c>
      <c r="K245" s="90"/>
      <c r="L245" s="90"/>
      <c r="M245" s="90"/>
      <c r="N245" s="90"/>
      <c r="O245" s="90"/>
    </row>
    <row r="246" spans="3:15" x14ac:dyDescent="0.3">
      <c r="C246" s="117">
        <v>228</v>
      </c>
      <c r="D246" s="136" t="s">
        <v>650</v>
      </c>
      <c r="E246" s="136" t="s">
        <v>68</v>
      </c>
      <c r="F246" s="136">
        <v>74</v>
      </c>
      <c r="G246" s="136" t="s">
        <v>202</v>
      </c>
      <c r="H246" s="136">
        <v>0</v>
      </c>
      <c r="I246" s="136">
        <v>0</v>
      </c>
      <c r="K246" s="90"/>
      <c r="L246" s="90"/>
      <c r="M246" s="90"/>
      <c r="N246" s="90"/>
      <c r="O246" s="90"/>
    </row>
    <row r="247" spans="3:15" x14ac:dyDescent="0.3">
      <c r="C247" s="117">
        <v>229</v>
      </c>
      <c r="D247" s="136" t="s">
        <v>650</v>
      </c>
      <c r="E247" s="136" t="s">
        <v>203</v>
      </c>
      <c r="F247" s="136">
        <v>77</v>
      </c>
      <c r="G247" s="136" t="s">
        <v>195</v>
      </c>
      <c r="H247" s="136">
        <v>2</v>
      </c>
      <c r="I247" s="136">
        <v>2</v>
      </c>
      <c r="K247" s="90"/>
      <c r="L247" s="90"/>
      <c r="M247" s="90"/>
      <c r="N247" s="90"/>
      <c r="O247" s="90"/>
    </row>
    <row r="248" spans="3:15" x14ac:dyDescent="0.3">
      <c r="C248" s="117">
        <v>230</v>
      </c>
      <c r="D248" s="136" t="s">
        <v>650</v>
      </c>
      <c r="E248" s="136" t="s">
        <v>204</v>
      </c>
      <c r="F248" s="136">
        <v>76</v>
      </c>
      <c r="G248" s="136" t="s">
        <v>195</v>
      </c>
      <c r="H248" s="136">
        <v>0</v>
      </c>
      <c r="I248" s="136">
        <v>0</v>
      </c>
      <c r="K248" s="90"/>
      <c r="L248" s="90"/>
      <c r="M248" s="90"/>
      <c r="N248" s="90"/>
      <c r="O248" s="90"/>
    </row>
    <row r="249" spans="3:15" x14ac:dyDescent="0.3">
      <c r="C249" s="117">
        <v>231</v>
      </c>
      <c r="D249" s="136" t="s">
        <v>650</v>
      </c>
      <c r="E249" s="136" t="s">
        <v>69</v>
      </c>
      <c r="F249" s="136">
        <v>71</v>
      </c>
      <c r="G249" s="136" t="s">
        <v>195</v>
      </c>
      <c r="H249" s="136">
        <v>0</v>
      </c>
      <c r="I249" s="136">
        <v>0</v>
      </c>
      <c r="K249" s="90"/>
      <c r="L249" s="90"/>
      <c r="M249" s="90"/>
      <c r="N249" s="90"/>
      <c r="O249" s="90"/>
    </row>
    <row r="250" spans="3:15" x14ac:dyDescent="0.3">
      <c r="C250" s="117">
        <v>232</v>
      </c>
      <c r="D250" s="136" t="s">
        <v>650</v>
      </c>
      <c r="E250" s="136" t="s">
        <v>204</v>
      </c>
      <c r="F250" s="136">
        <v>67</v>
      </c>
      <c r="G250" s="136" t="s">
        <v>202</v>
      </c>
      <c r="H250" s="136">
        <v>0</v>
      </c>
      <c r="I250" s="136">
        <v>0</v>
      </c>
      <c r="K250" s="90"/>
      <c r="L250" s="90"/>
      <c r="M250" s="90"/>
      <c r="N250" s="90"/>
      <c r="O250" s="90"/>
    </row>
    <row r="251" spans="3:15" x14ac:dyDescent="0.3">
      <c r="C251" s="117">
        <v>233</v>
      </c>
      <c r="D251" s="136" t="s">
        <v>650</v>
      </c>
      <c r="E251" s="136" t="s">
        <v>202</v>
      </c>
      <c r="F251" s="136">
        <v>66</v>
      </c>
      <c r="G251" s="136" t="s">
        <v>195</v>
      </c>
      <c r="H251" s="136">
        <v>2</v>
      </c>
      <c r="I251" s="136">
        <v>2</v>
      </c>
      <c r="K251" s="90"/>
      <c r="L251" s="90"/>
      <c r="M251" s="90"/>
      <c r="N251" s="90"/>
      <c r="O251" s="90"/>
    </row>
    <row r="252" spans="3:15" x14ac:dyDescent="0.3">
      <c r="C252" s="117">
        <v>234</v>
      </c>
      <c r="D252" s="136" t="s">
        <v>650</v>
      </c>
      <c r="E252" s="136" t="s">
        <v>201</v>
      </c>
      <c r="F252" s="136">
        <v>79</v>
      </c>
      <c r="G252" s="136" t="s">
        <v>202</v>
      </c>
      <c r="H252" s="136">
        <v>0</v>
      </c>
      <c r="I252" s="136">
        <v>0</v>
      </c>
      <c r="K252" s="90"/>
      <c r="L252" s="90"/>
      <c r="M252" s="90"/>
      <c r="N252" s="90"/>
      <c r="O252" s="90"/>
    </row>
    <row r="253" spans="3:15" x14ac:dyDescent="0.3">
      <c r="C253" s="117">
        <v>235</v>
      </c>
      <c r="D253" s="136" t="s">
        <v>650</v>
      </c>
      <c r="E253" s="136" t="s">
        <v>200</v>
      </c>
      <c r="F253" s="136">
        <v>78</v>
      </c>
      <c r="G253" s="136" t="s">
        <v>202</v>
      </c>
      <c r="H253" s="136">
        <v>0</v>
      </c>
      <c r="I253" s="136">
        <v>0</v>
      </c>
      <c r="K253" s="90"/>
      <c r="L253" s="90"/>
      <c r="M253" s="90"/>
      <c r="N253" s="90"/>
      <c r="O253" s="90"/>
    </row>
    <row r="254" spans="3:15" x14ac:dyDescent="0.3">
      <c r="C254" s="117">
        <v>236</v>
      </c>
      <c r="D254" s="136" t="s">
        <v>650</v>
      </c>
      <c r="E254" s="136" t="s">
        <v>203</v>
      </c>
      <c r="F254" s="136">
        <v>67</v>
      </c>
      <c r="G254" s="136" t="s">
        <v>202</v>
      </c>
      <c r="H254" s="136">
        <v>0</v>
      </c>
      <c r="I254" s="136">
        <v>0</v>
      </c>
      <c r="K254" s="90"/>
      <c r="L254" s="90"/>
      <c r="M254" s="90"/>
      <c r="N254" s="90"/>
      <c r="O254" s="90"/>
    </row>
    <row r="255" spans="3:15" x14ac:dyDescent="0.3">
      <c r="C255" s="117">
        <v>237</v>
      </c>
      <c r="D255" s="136" t="s">
        <v>650</v>
      </c>
      <c r="E255" s="136" t="s">
        <v>203</v>
      </c>
      <c r="F255" s="136">
        <v>73</v>
      </c>
      <c r="G255" s="136" t="s">
        <v>202</v>
      </c>
      <c r="H255" s="136">
        <v>0</v>
      </c>
      <c r="I255" s="136">
        <v>0</v>
      </c>
      <c r="K255" s="90"/>
      <c r="L255" s="90"/>
      <c r="M255" s="90"/>
      <c r="N255" s="90"/>
      <c r="O255" s="90"/>
    </row>
    <row r="256" spans="3:15" x14ac:dyDescent="0.3">
      <c r="C256" s="117">
        <v>238</v>
      </c>
      <c r="D256" s="136" t="s">
        <v>650</v>
      </c>
      <c r="E256" s="136" t="s">
        <v>69</v>
      </c>
      <c r="F256" s="136">
        <v>76</v>
      </c>
      <c r="G256" s="136" t="s">
        <v>202</v>
      </c>
      <c r="H256" s="136">
        <v>0</v>
      </c>
      <c r="I256" s="136">
        <v>0</v>
      </c>
      <c r="K256" s="90"/>
      <c r="L256" s="90"/>
      <c r="M256" s="90"/>
      <c r="N256" s="90"/>
      <c r="O256" s="90"/>
    </row>
    <row r="257" spans="3:15" x14ac:dyDescent="0.3">
      <c r="C257" s="117">
        <v>239</v>
      </c>
      <c r="D257" s="136" t="s">
        <v>650</v>
      </c>
      <c r="E257" s="136" t="s">
        <v>202</v>
      </c>
      <c r="F257" s="136">
        <v>68</v>
      </c>
      <c r="G257" s="136" t="s">
        <v>195</v>
      </c>
      <c r="H257" s="136">
        <v>4</v>
      </c>
      <c r="I257" s="136">
        <v>2</v>
      </c>
      <c r="K257" s="90"/>
      <c r="L257" s="90"/>
      <c r="M257" s="90"/>
      <c r="N257" s="90"/>
      <c r="O257" s="90"/>
    </row>
    <row r="258" spans="3:15" x14ac:dyDescent="0.3">
      <c r="C258" s="117">
        <v>240</v>
      </c>
      <c r="D258" s="136" t="s">
        <v>650</v>
      </c>
      <c r="E258" s="136" t="s">
        <v>201</v>
      </c>
      <c r="F258" s="136">
        <v>72</v>
      </c>
      <c r="G258" s="136" t="s">
        <v>195</v>
      </c>
      <c r="H258" s="136">
        <v>0</v>
      </c>
      <c r="I258" s="136">
        <v>0</v>
      </c>
      <c r="K258" s="90"/>
      <c r="L258" s="90"/>
      <c r="M258" s="90"/>
      <c r="N258" s="90"/>
      <c r="O258" s="90"/>
    </row>
    <row r="259" spans="3:15" x14ac:dyDescent="0.3">
      <c r="C259" s="117">
        <v>241</v>
      </c>
      <c r="D259" s="136" t="s">
        <v>650</v>
      </c>
      <c r="E259" s="136" t="s">
        <v>198</v>
      </c>
      <c r="F259" s="136">
        <v>80</v>
      </c>
      <c r="G259" s="136" t="s">
        <v>202</v>
      </c>
      <c r="H259" s="136">
        <v>0</v>
      </c>
      <c r="I259" s="136">
        <v>0</v>
      </c>
      <c r="K259" s="90"/>
      <c r="L259" s="90"/>
      <c r="M259" s="90"/>
      <c r="N259" s="90"/>
      <c r="O259" s="90"/>
    </row>
    <row r="260" spans="3:15" x14ac:dyDescent="0.3">
      <c r="C260" s="117">
        <v>242</v>
      </c>
      <c r="D260" s="136" t="s">
        <v>650</v>
      </c>
      <c r="E260" s="136" t="s">
        <v>203</v>
      </c>
      <c r="F260" s="136">
        <v>67</v>
      </c>
      <c r="G260" s="136" t="s">
        <v>195</v>
      </c>
      <c r="H260" s="136">
        <v>2</v>
      </c>
      <c r="I260" s="136">
        <v>2</v>
      </c>
      <c r="K260" s="90"/>
      <c r="L260" s="90"/>
      <c r="M260" s="90"/>
      <c r="N260" s="90"/>
      <c r="O260" s="90"/>
    </row>
    <row r="261" spans="3:15" x14ac:dyDescent="0.3">
      <c r="C261" s="117">
        <v>243</v>
      </c>
      <c r="D261" s="136" t="s">
        <v>650</v>
      </c>
      <c r="E261" s="136" t="s">
        <v>200</v>
      </c>
      <c r="F261" s="136">
        <v>75</v>
      </c>
      <c r="G261" s="136" t="s">
        <v>195</v>
      </c>
      <c r="H261" s="136">
        <v>1</v>
      </c>
      <c r="I261" s="136">
        <v>1</v>
      </c>
      <c r="K261" s="90"/>
      <c r="L261" s="90"/>
      <c r="M261" s="90"/>
      <c r="N261" s="90"/>
      <c r="O261" s="90"/>
    </row>
    <row r="262" spans="3:15" x14ac:dyDescent="0.3">
      <c r="C262" s="117">
        <v>244</v>
      </c>
      <c r="D262" s="136" t="s">
        <v>650</v>
      </c>
      <c r="E262" s="136" t="s">
        <v>203</v>
      </c>
      <c r="F262" s="136">
        <v>79</v>
      </c>
      <c r="G262" s="136" t="s">
        <v>202</v>
      </c>
      <c r="H262" s="136">
        <v>0</v>
      </c>
      <c r="I262" s="136">
        <v>0</v>
      </c>
      <c r="K262" s="90"/>
      <c r="L262" s="90"/>
      <c r="M262" s="90"/>
      <c r="N262" s="90"/>
      <c r="O262" s="90"/>
    </row>
    <row r="263" spans="3:15" x14ac:dyDescent="0.3">
      <c r="C263" s="117">
        <v>245</v>
      </c>
      <c r="D263" s="136" t="s">
        <v>650</v>
      </c>
      <c r="E263" s="136" t="s">
        <v>198</v>
      </c>
      <c r="F263" s="136">
        <v>77</v>
      </c>
      <c r="G263" s="136" t="s">
        <v>202</v>
      </c>
      <c r="H263" s="136">
        <v>1</v>
      </c>
      <c r="I263" s="136">
        <v>1</v>
      </c>
      <c r="K263" s="90"/>
      <c r="L263" s="90"/>
      <c r="M263" s="90"/>
      <c r="N263" s="90"/>
      <c r="O263" s="90"/>
    </row>
    <row r="264" spans="3:15" x14ac:dyDescent="0.3">
      <c r="C264" s="117">
        <v>246</v>
      </c>
      <c r="D264" s="136" t="s">
        <v>650</v>
      </c>
      <c r="E264" s="136" t="s">
        <v>201</v>
      </c>
      <c r="F264" s="136">
        <v>71</v>
      </c>
      <c r="G264" s="136" t="s">
        <v>202</v>
      </c>
      <c r="H264" s="136">
        <v>0</v>
      </c>
      <c r="I264" s="136">
        <v>0</v>
      </c>
      <c r="K264" s="90"/>
      <c r="L264" s="90"/>
      <c r="M264" s="90"/>
      <c r="N264" s="90"/>
      <c r="O264" s="90"/>
    </row>
    <row r="265" spans="3:15" x14ac:dyDescent="0.3">
      <c r="C265" s="117">
        <v>247</v>
      </c>
      <c r="D265" s="136" t="s">
        <v>650</v>
      </c>
      <c r="E265" s="136" t="s">
        <v>198</v>
      </c>
      <c r="F265" s="136">
        <v>70</v>
      </c>
      <c r="G265" s="136" t="s">
        <v>202</v>
      </c>
      <c r="H265" s="136">
        <v>0</v>
      </c>
      <c r="I265" s="136">
        <v>0</v>
      </c>
      <c r="K265" s="90"/>
      <c r="L265" s="90"/>
      <c r="M265" s="90"/>
      <c r="N265" s="90"/>
      <c r="O265" s="90"/>
    </row>
    <row r="266" spans="3:15" x14ac:dyDescent="0.3">
      <c r="C266" s="117">
        <v>248</v>
      </c>
      <c r="D266" s="136" t="s">
        <v>650</v>
      </c>
      <c r="E266" s="136" t="s">
        <v>201</v>
      </c>
      <c r="F266" s="136">
        <v>68</v>
      </c>
      <c r="G266" s="136" t="s">
        <v>195</v>
      </c>
      <c r="H266" s="136">
        <v>0</v>
      </c>
      <c r="I266" s="136">
        <v>0</v>
      </c>
      <c r="K266" s="90"/>
      <c r="L266" s="90"/>
      <c r="M266" s="90"/>
      <c r="N266" s="90"/>
      <c r="O266" s="90"/>
    </row>
    <row r="267" spans="3:15" x14ac:dyDescent="0.3">
      <c r="C267" s="117">
        <v>249</v>
      </c>
      <c r="D267" s="136" t="s">
        <v>650</v>
      </c>
      <c r="E267" s="136" t="s">
        <v>68</v>
      </c>
      <c r="F267" s="136">
        <v>78</v>
      </c>
      <c r="G267" s="136" t="s">
        <v>202</v>
      </c>
      <c r="H267" s="136">
        <v>0</v>
      </c>
      <c r="I267" s="136">
        <v>0</v>
      </c>
      <c r="K267" s="90"/>
      <c r="L267" s="90"/>
      <c r="M267" s="90"/>
      <c r="N267" s="90"/>
      <c r="O267" s="90"/>
    </row>
    <row r="268" spans="3:15" x14ac:dyDescent="0.3">
      <c r="C268" s="117">
        <v>250</v>
      </c>
      <c r="D268" s="136" t="s">
        <v>650</v>
      </c>
      <c r="E268" s="136" t="s">
        <v>70</v>
      </c>
      <c r="F268" s="136">
        <v>79</v>
      </c>
      <c r="G268" s="136" t="s">
        <v>202</v>
      </c>
      <c r="H268" s="136">
        <v>0</v>
      </c>
      <c r="I268" s="136">
        <v>0</v>
      </c>
      <c r="K268" s="90"/>
      <c r="L268" s="90"/>
      <c r="M268" s="90"/>
      <c r="N268" s="90"/>
      <c r="O268" s="90"/>
    </row>
    <row r="269" spans="3:15" x14ac:dyDescent="0.3">
      <c r="C269" s="117">
        <v>251</v>
      </c>
      <c r="D269" s="136" t="s">
        <v>650</v>
      </c>
      <c r="E269" s="136" t="s">
        <v>198</v>
      </c>
      <c r="F269" s="136">
        <v>73</v>
      </c>
      <c r="G269" s="136" t="s">
        <v>202</v>
      </c>
      <c r="H269" s="136">
        <v>0</v>
      </c>
      <c r="I269" s="136">
        <v>0</v>
      </c>
      <c r="K269" s="90"/>
      <c r="L269" s="90"/>
      <c r="M269" s="90"/>
      <c r="N269" s="90"/>
      <c r="O269" s="90"/>
    </row>
    <row r="270" spans="3:15" x14ac:dyDescent="0.3">
      <c r="C270" s="117">
        <v>252</v>
      </c>
      <c r="D270" s="136" t="s">
        <v>650</v>
      </c>
      <c r="E270" s="136" t="s">
        <v>199</v>
      </c>
      <c r="F270" s="136">
        <v>66</v>
      </c>
      <c r="G270" s="136" t="s">
        <v>202</v>
      </c>
      <c r="H270" s="136">
        <v>0</v>
      </c>
      <c r="I270" s="136">
        <v>0</v>
      </c>
      <c r="K270" s="90"/>
      <c r="L270" s="90"/>
      <c r="M270" s="90"/>
      <c r="N270" s="90"/>
      <c r="O270" s="90"/>
    </row>
    <row r="271" spans="3:15" x14ac:dyDescent="0.3">
      <c r="C271" s="117">
        <v>253</v>
      </c>
      <c r="D271" s="136" t="s">
        <v>650</v>
      </c>
      <c r="E271" s="136" t="s">
        <v>203</v>
      </c>
      <c r="F271" s="136">
        <v>66</v>
      </c>
      <c r="G271" s="136" t="s">
        <v>195</v>
      </c>
      <c r="H271" s="136">
        <v>1</v>
      </c>
      <c r="I271" s="136">
        <v>2</v>
      </c>
      <c r="K271" s="90"/>
      <c r="L271" s="90"/>
      <c r="M271" s="90"/>
      <c r="N271" s="90"/>
      <c r="O271" s="90"/>
    </row>
    <row r="272" spans="3:15" x14ac:dyDescent="0.3">
      <c r="C272" s="117">
        <v>254</v>
      </c>
      <c r="D272" s="136" t="s">
        <v>650</v>
      </c>
      <c r="E272" s="136" t="s">
        <v>202</v>
      </c>
      <c r="F272" s="136">
        <v>68</v>
      </c>
      <c r="G272" s="136" t="s">
        <v>202</v>
      </c>
      <c r="H272" s="136">
        <v>0</v>
      </c>
      <c r="I272" s="136">
        <v>0</v>
      </c>
      <c r="K272" s="90"/>
      <c r="L272" s="90"/>
      <c r="M272" s="90"/>
      <c r="N272" s="90"/>
      <c r="O272" s="90"/>
    </row>
    <row r="273" spans="3:15" x14ac:dyDescent="0.3">
      <c r="C273" s="117">
        <v>255</v>
      </c>
      <c r="D273" s="136" t="s">
        <v>650</v>
      </c>
      <c r="E273" s="136" t="s">
        <v>203</v>
      </c>
      <c r="F273" s="136">
        <v>67</v>
      </c>
      <c r="G273" s="136" t="s">
        <v>202</v>
      </c>
      <c r="H273" s="136">
        <v>2</v>
      </c>
      <c r="I273" s="136">
        <v>2</v>
      </c>
      <c r="K273" s="90"/>
      <c r="L273" s="90"/>
      <c r="M273" s="90"/>
      <c r="N273" s="90"/>
      <c r="O273" s="90"/>
    </row>
    <row r="274" spans="3:15" x14ac:dyDescent="0.3">
      <c r="C274" s="117">
        <v>256</v>
      </c>
      <c r="D274" s="136" t="s">
        <v>650</v>
      </c>
      <c r="E274" s="136" t="s">
        <v>204</v>
      </c>
      <c r="F274" s="136">
        <v>69</v>
      </c>
      <c r="G274" s="136" t="s">
        <v>202</v>
      </c>
      <c r="H274" s="136">
        <v>0</v>
      </c>
      <c r="I274" s="136">
        <v>0</v>
      </c>
      <c r="K274" s="90"/>
      <c r="L274" s="90"/>
      <c r="M274" s="90"/>
      <c r="N274" s="90"/>
      <c r="O274" s="90"/>
    </row>
    <row r="275" spans="3:15" x14ac:dyDescent="0.3">
      <c r="C275" s="117">
        <v>257</v>
      </c>
      <c r="D275" s="136" t="s">
        <v>650</v>
      </c>
      <c r="E275" s="136" t="s">
        <v>199</v>
      </c>
      <c r="F275" s="136">
        <v>74</v>
      </c>
      <c r="G275" s="136" t="s">
        <v>202</v>
      </c>
      <c r="H275" s="136">
        <v>1</v>
      </c>
      <c r="I275" s="136">
        <v>2</v>
      </c>
      <c r="K275" s="90"/>
      <c r="L275" s="90"/>
      <c r="M275" s="90"/>
      <c r="N275" s="90"/>
      <c r="O275" s="90"/>
    </row>
    <row r="276" spans="3:15" x14ac:dyDescent="0.3">
      <c r="C276" s="117">
        <v>258</v>
      </c>
      <c r="D276" s="136" t="s">
        <v>650</v>
      </c>
      <c r="E276" s="136" t="s">
        <v>200</v>
      </c>
      <c r="F276" s="136">
        <v>66</v>
      </c>
      <c r="G276" s="136" t="s">
        <v>202</v>
      </c>
      <c r="H276" s="136">
        <v>0</v>
      </c>
      <c r="I276" s="136">
        <v>1</v>
      </c>
      <c r="K276" s="90"/>
      <c r="L276" s="90"/>
      <c r="M276" s="90"/>
      <c r="N276" s="90"/>
      <c r="O276" s="90"/>
    </row>
    <row r="277" spans="3:15" x14ac:dyDescent="0.3">
      <c r="C277" s="117">
        <v>259</v>
      </c>
      <c r="D277" s="136" t="s">
        <v>650</v>
      </c>
      <c r="E277" s="136" t="s">
        <v>200</v>
      </c>
      <c r="F277" s="136">
        <v>69</v>
      </c>
      <c r="G277" s="136" t="s">
        <v>195</v>
      </c>
      <c r="H277" s="136">
        <v>0</v>
      </c>
      <c r="I277" s="136">
        <v>0</v>
      </c>
      <c r="K277" s="90"/>
      <c r="L277" s="90"/>
      <c r="M277" s="90"/>
      <c r="N277" s="90"/>
      <c r="O277" s="90"/>
    </row>
    <row r="278" spans="3:15" x14ac:dyDescent="0.3">
      <c r="C278" s="117">
        <v>260</v>
      </c>
      <c r="D278" s="136" t="s">
        <v>650</v>
      </c>
      <c r="E278" s="136" t="s">
        <v>198</v>
      </c>
      <c r="F278" s="136">
        <v>72</v>
      </c>
      <c r="G278" s="136" t="s">
        <v>202</v>
      </c>
      <c r="H278" s="136">
        <v>0</v>
      </c>
      <c r="I278" s="136">
        <v>0</v>
      </c>
      <c r="K278" s="90"/>
      <c r="L278" s="90"/>
      <c r="M278" s="90"/>
      <c r="N278" s="90"/>
      <c r="O278" s="90"/>
    </row>
    <row r="279" spans="3:15" x14ac:dyDescent="0.3">
      <c r="C279" s="117">
        <v>261</v>
      </c>
      <c r="D279" s="136" t="s">
        <v>650</v>
      </c>
      <c r="E279" s="136" t="s">
        <v>69</v>
      </c>
      <c r="F279" s="136">
        <v>68</v>
      </c>
      <c r="G279" s="136" t="s">
        <v>202</v>
      </c>
      <c r="H279" s="136">
        <v>0</v>
      </c>
      <c r="I279" s="136">
        <v>0</v>
      </c>
      <c r="K279" s="90"/>
      <c r="L279" s="90"/>
      <c r="M279" s="90"/>
      <c r="N279" s="90"/>
      <c r="O279" s="90"/>
    </row>
    <row r="280" spans="3:15" x14ac:dyDescent="0.3">
      <c r="C280" s="117">
        <v>262</v>
      </c>
      <c r="D280" s="136" t="s">
        <v>650</v>
      </c>
      <c r="E280" s="136" t="s">
        <v>68</v>
      </c>
      <c r="F280" s="136">
        <v>76</v>
      </c>
      <c r="G280" s="136" t="s">
        <v>195</v>
      </c>
      <c r="H280" s="136">
        <v>0</v>
      </c>
      <c r="I280" s="136">
        <v>0</v>
      </c>
      <c r="K280" s="90"/>
      <c r="L280" s="90"/>
      <c r="M280" s="90"/>
      <c r="N280" s="90"/>
      <c r="O280" s="90"/>
    </row>
    <row r="281" spans="3:15" x14ac:dyDescent="0.3">
      <c r="C281" s="117">
        <v>263</v>
      </c>
      <c r="D281" s="136" t="s">
        <v>650</v>
      </c>
      <c r="E281" s="136" t="s">
        <v>204</v>
      </c>
      <c r="F281" s="136">
        <v>72</v>
      </c>
      <c r="G281" s="136" t="s">
        <v>195</v>
      </c>
      <c r="H281" s="136">
        <v>0</v>
      </c>
      <c r="I281" s="136">
        <v>0</v>
      </c>
      <c r="K281" s="90"/>
      <c r="L281" s="90"/>
      <c r="M281" s="90"/>
      <c r="N281" s="90"/>
      <c r="O281" s="90"/>
    </row>
    <row r="282" spans="3:15" x14ac:dyDescent="0.3">
      <c r="C282" s="117">
        <v>264</v>
      </c>
      <c r="D282" s="136" t="s">
        <v>650</v>
      </c>
      <c r="E282" s="136" t="s">
        <v>201</v>
      </c>
      <c r="F282" s="136">
        <v>74</v>
      </c>
      <c r="G282" s="136" t="s">
        <v>202</v>
      </c>
      <c r="H282" s="136">
        <v>0</v>
      </c>
      <c r="I282" s="136">
        <v>1</v>
      </c>
      <c r="K282" s="90"/>
      <c r="L282" s="90"/>
      <c r="M282" s="90"/>
      <c r="N282" s="90"/>
      <c r="O282" s="90"/>
    </row>
    <row r="283" spans="3:15" x14ac:dyDescent="0.3">
      <c r="C283" s="117">
        <v>265</v>
      </c>
      <c r="D283" s="136" t="s">
        <v>650</v>
      </c>
      <c r="E283" s="136" t="s">
        <v>201</v>
      </c>
      <c r="F283" s="136">
        <v>78</v>
      </c>
      <c r="G283" s="136" t="s">
        <v>195</v>
      </c>
      <c r="H283" s="136">
        <v>2</v>
      </c>
      <c r="I283" s="136">
        <v>1</v>
      </c>
      <c r="K283" s="90"/>
      <c r="L283" s="90"/>
      <c r="M283" s="90"/>
      <c r="N283" s="90"/>
      <c r="O283" s="90"/>
    </row>
    <row r="284" spans="3:15" x14ac:dyDescent="0.3">
      <c r="C284" s="117">
        <v>266</v>
      </c>
      <c r="D284" s="136" t="s">
        <v>650</v>
      </c>
      <c r="E284" s="136" t="s">
        <v>202</v>
      </c>
      <c r="F284" s="136">
        <v>71</v>
      </c>
      <c r="G284" s="136" t="s">
        <v>202</v>
      </c>
      <c r="H284" s="136">
        <v>0</v>
      </c>
      <c r="I284" s="136">
        <v>0</v>
      </c>
      <c r="K284" s="90"/>
      <c r="L284" s="90"/>
      <c r="M284" s="90"/>
      <c r="N284" s="90"/>
      <c r="O284" s="90"/>
    </row>
    <row r="285" spans="3:15" x14ac:dyDescent="0.3">
      <c r="C285" s="117">
        <v>267</v>
      </c>
      <c r="D285" s="136" t="s">
        <v>650</v>
      </c>
      <c r="E285" s="136" t="s">
        <v>198</v>
      </c>
      <c r="F285" s="136">
        <v>72</v>
      </c>
      <c r="G285" s="136" t="s">
        <v>202</v>
      </c>
      <c r="H285" s="136">
        <v>0</v>
      </c>
      <c r="I285" s="136">
        <v>0</v>
      </c>
      <c r="K285" s="90"/>
      <c r="L285" s="90"/>
      <c r="M285" s="90"/>
      <c r="N285" s="90"/>
      <c r="O285" s="90"/>
    </row>
    <row r="286" spans="3:15" x14ac:dyDescent="0.3">
      <c r="C286" s="117">
        <v>268</v>
      </c>
      <c r="D286" s="136" t="s">
        <v>650</v>
      </c>
      <c r="E286" s="136" t="s">
        <v>200</v>
      </c>
      <c r="F286" s="136">
        <v>74</v>
      </c>
      <c r="G286" s="136" t="s">
        <v>195</v>
      </c>
      <c r="H286" s="136">
        <v>0</v>
      </c>
      <c r="I286" s="136">
        <v>0</v>
      </c>
      <c r="K286" s="90"/>
      <c r="L286" s="90"/>
      <c r="M286" s="90"/>
      <c r="N286" s="90"/>
      <c r="O286" s="90"/>
    </row>
    <row r="287" spans="3:15" x14ac:dyDescent="0.3">
      <c r="C287" s="117">
        <v>269</v>
      </c>
      <c r="D287" s="136" t="s">
        <v>650</v>
      </c>
      <c r="E287" s="136" t="s">
        <v>204</v>
      </c>
      <c r="F287" s="136">
        <v>75</v>
      </c>
      <c r="G287" s="136" t="s">
        <v>195</v>
      </c>
      <c r="H287" s="136">
        <v>2</v>
      </c>
      <c r="I287" s="136">
        <v>4</v>
      </c>
      <c r="K287" s="90"/>
      <c r="L287" s="90"/>
      <c r="M287" s="90"/>
      <c r="N287" s="90"/>
      <c r="O287" s="90"/>
    </row>
    <row r="288" spans="3:15" x14ac:dyDescent="0.3">
      <c r="C288" s="117">
        <v>270</v>
      </c>
      <c r="D288" s="136" t="s">
        <v>650</v>
      </c>
      <c r="E288" s="136" t="s">
        <v>203</v>
      </c>
      <c r="F288" s="136">
        <v>75</v>
      </c>
      <c r="G288" s="136" t="s">
        <v>195</v>
      </c>
      <c r="H288" s="136">
        <v>0</v>
      </c>
      <c r="I288" s="136">
        <v>0</v>
      </c>
      <c r="K288" s="90"/>
      <c r="L288" s="90"/>
      <c r="M288" s="90"/>
      <c r="N288" s="90"/>
      <c r="O288" s="90"/>
    </row>
    <row r="289" spans="3:15" x14ac:dyDescent="0.3">
      <c r="C289" s="117">
        <v>271</v>
      </c>
      <c r="D289" s="136" t="s">
        <v>650</v>
      </c>
      <c r="E289" s="136" t="s">
        <v>202</v>
      </c>
      <c r="F289" s="136">
        <v>70</v>
      </c>
      <c r="G289" s="136" t="s">
        <v>202</v>
      </c>
      <c r="H289" s="136">
        <v>0</v>
      </c>
      <c r="I289" s="136">
        <v>0</v>
      </c>
      <c r="K289" s="90"/>
      <c r="L289" s="90"/>
      <c r="M289" s="90"/>
      <c r="N289" s="90"/>
      <c r="O289" s="90"/>
    </row>
    <row r="290" spans="3:15" x14ac:dyDescent="0.3">
      <c r="C290" s="117">
        <v>272</v>
      </c>
      <c r="D290" s="136" t="s">
        <v>650</v>
      </c>
      <c r="E290" s="136" t="s">
        <v>70</v>
      </c>
      <c r="F290" s="136">
        <v>79</v>
      </c>
      <c r="G290" s="136" t="s">
        <v>202</v>
      </c>
      <c r="H290" s="136">
        <v>1</v>
      </c>
      <c r="I290" s="136">
        <v>0</v>
      </c>
      <c r="K290" s="90"/>
      <c r="L290" s="90"/>
      <c r="M290" s="90"/>
      <c r="N290" s="90"/>
      <c r="O290" s="90"/>
    </row>
    <row r="291" spans="3:15" x14ac:dyDescent="0.3">
      <c r="C291" s="117">
        <v>273</v>
      </c>
      <c r="D291" s="136" t="s">
        <v>650</v>
      </c>
      <c r="E291" s="136" t="s">
        <v>200</v>
      </c>
      <c r="F291" s="136">
        <v>68</v>
      </c>
      <c r="G291" s="136" t="s">
        <v>195</v>
      </c>
      <c r="H291" s="136">
        <v>0</v>
      </c>
      <c r="I291" s="136">
        <v>0</v>
      </c>
      <c r="K291" s="90"/>
      <c r="L291" s="90"/>
      <c r="M291" s="90"/>
      <c r="N291" s="90"/>
      <c r="O291" s="90"/>
    </row>
    <row r="292" spans="3:15" x14ac:dyDescent="0.3">
      <c r="C292" s="117">
        <v>274</v>
      </c>
      <c r="D292" s="136" t="s">
        <v>650</v>
      </c>
      <c r="E292" s="136" t="s">
        <v>203</v>
      </c>
      <c r="F292" s="136">
        <v>65</v>
      </c>
      <c r="G292" s="136" t="s">
        <v>195</v>
      </c>
      <c r="H292" s="136">
        <v>0</v>
      </c>
      <c r="I292" s="136">
        <v>2</v>
      </c>
      <c r="K292" s="90"/>
      <c r="L292" s="90"/>
      <c r="M292" s="90"/>
      <c r="N292" s="90"/>
      <c r="O292" s="90"/>
    </row>
    <row r="293" spans="3:15" x14ac:dyDescent="0.3">
      <c r="C293" s="117">
        <v>275</v>
      </c>
      <c r="D293" s="136" t="s">
        <v>650</v>
      </c>
      <c r="E293" s="136" t="s">
        <v>68</v>
      </c>
      <c r="F293" s="136">
        <v>72</v>
      </c>
      <c r="G293" s="136" t="s">
        <v>202</v>
      </c>
      <c r="H293" s="136">
        <v>0</v>
      </c>
      <c r="I293" s="136">
        <v>0</v>
      </c>
      <c r="K293" s="90"/>
      <c r="L293" s="90"/>
      <c r="M293" s="90"/>
      <c r="N293" s="90"/>
      <c r="O293" s="90"/>
    </row>
    <row r="294" spans="3:15" x14ac:dyDescent="0.3">
      <c r="C294" s="117">
        <v>276</v>
      </c>
      <c r="D294" s="136" t="s">
        <v>650</v>
      </c>
      <c r="E294" s="136" t="s">
        <v>70</v>
      </c>
      <c r="F294" s="136">
        <v>69</v>
      </c>
      <c r="G294" s="136" t="s">
        <v>195</v>
      </c>
      <c r="H294" s="136">
        <v>0</v>
      </c>
      <c r="I294" s="136">
        <v>0</v>
      </c>
      <c r="K294" s="90"/>
      <c r="L294" s="90"/>
      <c r="M294" s="90"/>
      <c r="N294" s="90"/>
      <c r="O294" s="90"/>
    </row>
    <row r="295" spans="3:15" x14ac:dyDescent="0.3">
      <c r="C295" s="117">
        <v>277</v>
      </c>
      <c r="D295" s="136" t="s">
        <v>650</v>
      </c>
      <c r="E295" s="136" t="s">
        <v>198</v>
      </c>
      <c r="F295" s="136">
        <v>71</v>
      </c>
      <c r="G295" s="136" t="s">
        <v>195</v>
      </c>
      <c r="H295" s="136">
        <v>1</v>
      </c>
      <c r="I295" s="136">
        <v>3</v>
      </c>
      <c r="K295" s="90"/>
      <c r="L295" s="90"/>
      <c r="M295" s="90"/>
      <c r="N295" s="90"/>
      <c r="O295" s="90"/>
    </row>
    <row r="296" spans="3:15" x14ac:dyDescent="0.3">
      <c r="C296" s="117">
        <v>278</v>
      </c>
      <c r="D296" s="136" t="s">
        <v>650</v>
      </c>
      <c r="E296" s="136" t="s">
        <v>204</v>
      </c>
      <c r="F296" s="136">
        <v>69</v>
      </c>
      <c r="G296" s="136" t="s">
        <v>202</v>
      </c>
      <c r="H296" s="136">
        <v>0</v>
      </c>
      <c r="I296" s="136">
        <v>0</v>
      </c>
      <c r="K296" s="90"/>
      <c r="L296" s="90"/>
      <c r="M296" s="90"/>
      <c r="N296" s="90"/>
      <c r="O296" s="90"/>
    </row>
    <row r="297" spans="3:15" x14ac:dyDescent="0.3">
      <c r="C297" s="117">
        <v>279</v>
      </c>
      <c r="D297" s="136" t="s">
        <v>650</v>
      </c>
      <c r="E297" s="136" t="s">
        <v>198</v>
      </c>
      <c r="F297" s="136">
        <v>71</v>
      </c>
      <c r="G297" s="136" t="s">
        <v>195</v>
      </c>
      <c r="H297" s="136">
        <v>1</v>
      </c>
      <c r="I297" s="136">
        <v>1</v>
      </c>
      <c r="K297" s="90"/>
      <c r="L297" s="90"/>
      <c r="M297" s="90"/>
      <c r="N297" s="90"/>
      <c r="O297" s="90"/>
    </row>
    <row r="298" spans="3:15" x14ac:dyDescent="0.3">
      <c r="C298" s="117">
        <v>280</v>
      </c>
      <c r="D298" s="136" t="s">
        <v>650</v>
      </c>
      <c r="E298" s="136" t="s">
        <v>70</v>
      </c>
      <c r="F298" s="136">
        <v>66</v>
      </c>
      <c r="G298" s="136" t="s">
        <v>195</v>
      </c>
      <c r="H298" s="136">
        <v>1</v>
      </c>
      <c r="I298" s="136">
        <v>0</v>
      </c>
      <c r="K298" s="90"/>
      <c r="L298" s="90"/>
      <c r="M298" s="90"/>
      <c r="N298" s="90"/>
      <c r="O298" s="90"/>
    </row>
    <row r="299" spans="3:15" x14ac:dyDescent="0.3">
      <c r="C299" s="117">
        <v>281</v>
      </c>
      <c r="D299" s="136" t="s">
        <v>650</v>
      </c>
      <c r="E299" s="136" t="s">
        <v>200</v>
      </c>
      <c r="F299" s="136">
        <v>70</v>
      </c>
      <c r="G299" s="136" t="s">
        <v>202</v>
      </c>
      <c r="H299" s="136">
        <v>0</v>
      </c>
      <c r="I299" s="136">
        <v>0</v>
      </c>
      <c r="K299" s="90"/>
      <c r="L299" s="90"/>
      <c r="M299" s="90"/>
      <c r="N299" s="90"/>
      <c r="O299" s="90"/>
    </row>
    <row r="300" spans="3:15" x14ac:dyDescent="0.3">
      <c r="C300" s="117">
        <v>282</v>
      </c>
      <c r="D300" s="136" t="s">
        <v>650</v>
      </c>
      <c r="E300" s="136" t="s">
        <v>203</v>
      </c>
      <c r="F300" s="136">
        <v>77</v>
      </c>
      <c r="G300" s="136" t="s">
        <v>202</v>
      </c>
      <c r="H300" s="136">
        <v>2</v>
      </c>
      <c r="I300" s="136">
        <v>2</v>
      </c>
      <c r="K300" s="90"/>
      <c r="L300" s="90"/>
      <c r="M300" s="90"/>
      <c r="N300" s="90"/>
      <c r="O300" s="90"/>
    </row>
    <row r="301" spans="3:15" x14ac:dyDescent="0.3">
      <c r="C301" s="117">
        <v>283</v>
      </c>
      <c r="D301" s="136" t="s">
        <v>650</v>
      </c>
      <c r="E301" s="136" t="s">
        <v>198</v>
      </c>
      <c r="F301" s="136">
        <v>67</v>
      </c>
      <c r="G301" s="136" t="s">
        <v>202</v>
      </c>
      <c r="H301" s="136">
        <v>1</v>
      </c>
      <c r="I301" s="136">
        <v>1</v>
      </c>
      <c r="K301" s="90"/>
      <c r="L301" s="90"/>
      <c r="M301" s="90"/>
      <c r="N301" s="90"/>
      <c r="O301" s="90"/>
    </row>
    <row r="302" spans="3:15" x14ac:dyDescent="0.3">
      <c r="C302" s="117">
        <v>284</v>
      </c>
      <c r="D302" s="136" t="s">
        <v>650</v>
      </c>
      <c r="E302" s="136" t="s">
        <v>198</v>
      </c>
      <c r="F302" s="136">
        <v>68</v>
      </c>
      <c r="G302" s="136" t="s">
        <v>195</v>
      </c>
      <c r="H302" s="136">
        <v>0</v>
      </c>
      <c r="I302" s="136">
        <v>0</v>
      </c>
      <c r="K302" s="90"/>
      <c r="L302" s="90"/>
      <c r="M302" s="90"/>
      <c r="N302" s="90"/>
      <c r="O302" s="90"/>
    </row>
    <row r="303" spans="3:15" x14ac:dyDescent="0.3">
      <c r="C303" s="117">
        <v>285</v>
      </c>
      <c r="D303" s="136" t="s">
        <v>650</v>
      </c>
      <c r="E303" s="136" t="s">
        <v>203</v>
      </c>
      <c r="F303" s="136">
        <v>75</v>
      </c>
      <c r="G303" s="136" t="s">
        <v>195</v>
      </c>
      <c r="H303" s="136">
        <v>1</v>
      </c>
      <c r="I303" s="136">
        <v>1</v>
      </c>
      <c r="K303" s="90"/>
      <c r="L303" s="90"/>
      <c r="M303" s="90"/>
      <c r="N303" s="90"/>
      <c r="O303" s="90"/>
    </row>
    <row r="304" spans="3:15" x14ac:dyDescent="0.3">
      <c r="C304" s="117">
        <v>286</v>
      </c>
      <c r="D304" s="136" t="s">
        <v>650</v>
      </c>
      <c r="E304" s="136" t="s">
        <v>200</v>
      </c>
      <c r="F304" s="136">
        <v>72</v>
      </c>
      <c r="G304" s="136" t="s">
        <v>202</v>
      </c>
      <c r="H304" s="136">
        <v>0</v>
      </c>
      <c r="I304" s="136">
        <v>0</v>
      </c>
      <c r="K304" s="90"/>
      <c r="L304" s="90"/>
      <c r="M304" s="90"/>
      <c r="N304" s="90"/>
      <c r="O304" s="90"/>
    </row>
    <row r="305" spans="3:15" x14ac:dyDescent="0.3">
      <c r="C305" s="117">
        <v>287</v>
      </c>
      <c r="D305" s="136" t="s">
        <v>650</v>
      </c>
      <c r="E305" s="136" t="s">
        <v>201</v>
      </c>
      <c r="F305" s="136">
        <v>65</v>
      </c>
      <c r="G305" s="136" t="s">
        <v>202</v>
      </c>
      <c r="H305" s="136">
        <v>1</v>
      </c>
      <c r="I305" s="136">
        <v>1</v>
      </c>
      <c r="K305" s="90"/>
      <c r="L305" s="90"/>
      <c r="M305" s="90"/>
      <c r="N305" s="90"/>
      <c r="O305" s="90"/>
    </row>
    <row r="306" spans="3:15" x14ac:dyDescent="0.3">
      <c r="C306" s="117">
        <v>288</v>
      </c>
      <c r="D306" s="136" t="s">
        <v>650</v>
      </c>
      <c r="E306" s="136" t="s">
        <v>68</v>
      </c>
      <c r="F306" s="136">
        <v>69</v>
      </c>
      <c r="G306" s="136" t="s">
        <v>202</v>
      </c>
      <c r="H306" s="136">
        <v>2</v>
      </c>
      <c r="I306" s="136">
        <v>2</v>
      </c>
      <c r="K306" s="90"/>
      <c r="L306" s="90"/>
      <c r="M306" s="90"/>
      <c r="N306" s="90"/>
      <c r="O306" s="90"/>
    </row>
    <row r="307" spans="3:15" x14ac:dyDescent="0.3">
      <c r="C307" s="117">
        <v>289</v>
      </c>
      <c r="D307" s="136" t="s">
        <v>650</v>
      </c>
      <c r="E307" s="136" t="s">
        <v>68</v>
      </c>
      <c r="F307" s="136">
        <v>67</v>
      </c>
      <c r="G307" s="136" t="s">
        <v>195</v>
      </c>
      <c r="H307" s="136">
        <v>0</v>
      </c>
      <c r="I307" s="136">
        <v>0</v>
      </c>
      <c r="K307" s="90"/>
      <c r="L307" s="90"/>
      <c r="M307" s="90"/>
      <c r="N307" s="90"/>
      <c r="O307" s="90"/>
    </row>
    <row r="308" spans="3:15" x14ac:dyDescent="0.3">
      <c r="C308" s="117">
        <v>290</v>
      </c>
      <c r="D308" s="136" t="s">
        <v>650</v>
      </c>
      <c r="E308" s="136" t="s">
        <v>203</v>
      </c>
      <c r="F308" s="136">
        <v>79</v>
      </c>
      <c r="G308" s="136" t="s">
        <v>195</v>
      </c>
      <c r="H308" s="136">
        <v>0</v>
      </c>
      <c r="I308" s="136">
        <v>0</v>
      </c>
      <c r="K308" s="90"/>
      <c r="L308" s="90"/>
      <c r="M308" s="90"/>
      <c r="N308" s="90"/>
      <c r="O308" s="90"/>
    </row>
    <row r="309" spans="3:15" x14ac:dyDescent="0.3">
      <c r="C309" s="117">
        <v>291</v>
      </c>
      <c r="D309" s="136" t="s">
        <v>650</v>
      </c>
      <c r="E309" s="136" t="s">
        <v>70</v>
      </c>
      <c r="F309" s="136">
        <v>68</v>
      </c>
      <c r="G309" s="136" t="s">
        <v>195</v>
      </c>
      <c r="H309" s="136">
        <v>3</v>
      </c>
      <c r="I309" s="136">
        <v>3</v>
      </c>
      <c r="K309" s="90"/>
      <c r="L309" s="90"/>
      <c r="M309" s="90"/>
      <c r="N309" s="90"/>
      <c r="O309" s="90"/>
    </row>
    <row r="310" spans="3:15" x14ac:dyDescent="0.3">
      <c r="C310" s="117">
        <v>292</v>
      </c>
      <c r="D310" s="136" t="s">
        <v>650</v>
      </c>
      <c r="E310" s="136" t="s">
        <v>201</v>
      </c>
      <c r="F310" s="136">
        <v>73</v>
      </c>
      <c r="G310" s="136" t="s">
        <v>195</v>
      </c>
      <c r="H310" s="136">
        <v>0</v>
      </c>
      <c r="I310" s="136">
        <v>0</v>
      </c>
      <c r="K310" s="90"/>
      <c r="L310" s="90"/>
      <c r="M310" s="90"/>
      <c r="N310" s="90"/>
      <c r="O310" s="90"/>
    </row>
    <row r="311" spans="3:15" x14ac:dyDescent="0.3">
      <c r="C311" s="117">
        <v>293</v>
      </c>
      <c r="D311" s="136" t="s">
        <v>650</v>
      </c>
      <c r="E311" s="136" t="s">
        <v>202</v>
      </c>
      <c r="F311" s="136">
        <v>70</v>
      </c>
      <c r="G311" s="136" t="s">
        <v>195</v>
      </c>
      <c r="H311" s="136">
        <v>0</v>
      </c>
      <c r="I311" s="136">
        <v>0</v>
      </c>
      <c r="K311" s="90"/>
      <c r="L311" s="90"/>
      <c r="M311" s="90"/>
      <c r="N311" s="90"/>
      <c r="O311" s="90"/>
    </row>
    <row r="312" spans="3:15" x14ac:dyDescent="0.3">
      <c r="C312" s="117">
        <v>294</v>
      </c>
      <c r="D312" s="136" t="s">
        <v>650</v>
      </c>
      <c r="E312" s="136" t="s">
        <v>203</v>
      </c>
      <c r="F312" s="136">
        <v>67</v>
      </c>
      <c r="G312" s="136" t="s">
        <v>195</v>
      </c>
      <c r="H312" s="136">
        <v>2</v>
      </c>
      <c r="I312" s="136">
        <v>2</v>
      </c>
      <c r="K312" s="90"/>
      <c r="L312" s="90"/>
      <c r="M312" s="90"/>
      <c r="N312" s="90"/>
      <c r="O312" s="90"/>
    </row>
    <row r="313" spans="3:15" x14ac:dyDescent="0.3">
      <c r="C313" s="117">
        <v>295</v>
      </c>
      <c r="D313" s="136" t="s">
        <v>650</v>
      </c>
      <c r="E313" s="136" t="s">
        <v>201</v>
      </c>
      <c r="F313" s="136">
        <v>75</v>
      </c>
      <c r="G313" s="136" t="s">
        <v>202</v>
      </c>
      <c r="H313" s="136">
        <v>0</v>
      </c>
      <c r="I313" s="136">
        <v>0</v>
      </c>
      <c r="K313" s="90"/>
      <c r="L313" s="90"/>
      <c r="M313" s="90"/>
      <c r="N313" s="90"/>
      <c r="O313" s="90"/>
    </row>
    <row r="314" spans="3:15" x14ac:dyDescent="0.3">
      <c r="C314" s="117">
        <v>296</v>
      </c>
      <c r="D314" s="136" t="s">
        <v>650</v>
      </c>
      <c r="E314" s="136" t="s">
        <v>202</v>
      </c>
      <c r="F314" s="136">
        <v>67</v>
      </c>
      <c r="G314" s="136" t="s">
        <v>195</v>
      </c>
      <c r="H314" s="136">
        <v>0</v>
      </c>
      <c r="I314" s="136">
        <v>0</v>
      </c>
      <c r="K314" s="90"/>
      <c r="L314" s="90"/>
      <c r="M314" s="90"/>
      <c r="N314" s="90"/>
      <c r="O314" s="90"/>
    </row>
    <row r="315" spans="3:15" x14ac:dyDescent="0.3">
      <c r="C315" s="117">
        <v>297</v>
      </c>
      <c r="D315" s="136" t="s">
        <v>650</v>
      </c>
      <c r="E315" s="136" t="s">
        <v>202</v>
      </c>
      <c r="F315" s="136">
        <v>80</v>
      </c>
      <c r="G315" s="136" t="s">
        <v>202</v>
      </c>
      <c r="H315" s="136">
        <v>0</v>
      </c>
      <c r="I315" s="136">
        <v>0</v>
      </c>
      <c r="K315" s="90"/>
      <c r="L315" s="90"/>
      <c r="M315" s="90"/>
      <c r="N315" s="90"/>
      <c r="O315" s="90"/>
    </row>
    <row r="316" spans="3:15" x14ac:dyDescent="0.3">
      <c r="C316" s="117">
        <v>298</v>
      </c>
      <c r="D316" s="136" t="s">
        <v>650</v>
      </c>
      <c r="E316" s="136" t="s">
        <v>200</v>
      </c>
      <c r="F316" s="136">
        <v>67</v>
      </c>
      <c r="G316" s="136" t="s">
        <v>202</v>
      </c>
      <c r="H316" s="136">
        <v>0</v>
      </c>
      <c r="I316" s="136">
        <v>0</v>
      </c>
      <c r="K316" s="90"/>
      <c r="L316" s="90"/>
      <c r="M316" s="90"/>
      <c r="N316" s="90"/>
      <c r="O316" s="90"/>
    </row>
    <row r="317" spans="3:15" x14ac:dyDescent="0.3">
      <c r="C317" s="117">
        <v>299</v>
      </c>
      <c r="D317" s="136" t="s">
        <v>650</v>
      </c>
      <c r="E317" s="136" t="s">
        <v>199</v>
      </c>
      <c r="F317" s="136">
        <v>68</v>
      </c>
      <c r="G317" s="136" t="s">
        <v>195</v>
      </c>
      <c r="H317" s="136">
        <v>1</v>
      </c>
      <c r="I317" s="136">
        <v>1</v>
      </c>
      <c r="K317" s="90"/>
      <c r="L317" s="90"/>
      <c r="M317" s="90"/>
      <c r="N317" s="90"/>
      <c r="O317" s="90"/>
    </row>
    <row r="318" spans="3:15" x14ac:dyDescent="0.3">
      <c r="C318" s="119">
        <v>300</v>
      </c>
      <c r="D318" s="135" t="s">
        <v>650</v>
      </c>
      <c r="E318" s="135" t="s">
        <v>198</v>
      </c>
      <c r="F318" s="135">
        <v>69</v>
      </c>
      <c r="G318" s="135" t="s">
        <v>202</v>
      </c>
      <c r="H318" s="135">
        <v>3</v>
      </c>
      <c r="I318" s="135">
        <v>3</v>
      </c>
      <c r="K318" s="90"/>
      <c r="L318" s="90"/>
      <c r="M318" s="90"/>
      <c r="N318" s="90"/>
      <c r="O318" s="90"/>
    </row>
  </sheetData>
  <mergeCells count="3">
    <mergeCell ref="C10:F10"/>
    <mergeCell ref="C14:I14"/>
    <mergeCell ref="K14:O14"/>
  </mergeCells>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FC794-E155-4E93-9DB5-DEFFC7477E3B}">
  <sheetPr>
    <tabColor theme="9" tint="0.59999389629810485"/>
  </sheetPr>
  <dimension ref="A1:AE336"/>
  <sheetViews>
    <sheetView workbookViewId="0">
      <pane xSplit="2" ySplit="36" topLeftCell="C37" activePane="bottomRight" state="frozen"/>
      <selection activeCell="R47" sqref="R47"/>
      <selection pane="topRight" activeCell="R47" sqref="R47"/>
      <selection pane="bottomLeft" activeCell="R47" sqref="R47"/>
      <selection pane="bottomRight" activeCell="R47" sqref="R47"/>
    </sheetView>
  </sheetViews>
  <sheetFormatPr defaultRowHeight="14.4" outlineLevelRow="1" x14ac:dyDescent="0.3"/>
  <cols>
    <col min="4" max="4" width="12.88671875" customWidth="1"/>
    <col min="8" max="9" width="13.88671875" customWidth="1"/>
    <col min="11" max="11" width="16.44140625" customWidth="1"/>
    <col min="12" max="12" width="11" customWidth="1"/>
    <col min="13" max="14" width="9.6640625" customWidth="1"/>
    <col min="15" max="16" width="10.33203125" customWidth="1"/>
    <col min="22" max="22" width="12.109375" customWidth="1"/>
  </cols>
  <sheetData>
    <row r="1" spans="1:15" ht="15" thickBot="1" x14ac:dyDescent="0.35">
      <c r="A1" t="s">
        <v>702</v>
      </c>
      <c r="G1" s="25" t="s">
        <v>40</v>
      </c>
      <c r="H1" s="24"/>
      <c r="K1" s="32"/>
    </row>
    <row r="2" spans="1:15" x14ac:dyDescent="0.3">
      <c r="G2" s="23" t="s">
        <v>39</v>
      </c>
      <c r="H2" s="23"/>
    </row>
    <row r="3" spans="1:15" ht="15" thickBot="1" x14ac:dyDescent="0.35">
      <c r="G3" s="22" t="s">
        <v>38</v>
      </c>
      <c r="H3" s="22"/>
    </row>
    <row r="4" spans="1:15" ht="15.6" thickTop="1" thickBot="1" x14ac:dyDescent="0.35">
      <c r="G4" s="21" t="s">
        <v>37</v>
      </c>
      <c r="H4" s="21"/>
    </row>
    <row r="5" spans="1:15" ht="15" thickTop="1" x14ac:dyDescent="0.3">
      <c r="G5" s="20" t="s">
        <v>36</v>
      </c>
      <c r="H5" s="19"/>
    </row>
    <row r="9" spans="1:15" ht="15" thickBot="1" x14ac:dyDescent="0.35"/>
    <row r="10" spans="1:15" ht="15" thickBot="1" x14ac:dyDescent="0.35">
      <c r="C10" s="182" t="s">
        <v>16</v>
      </c>
      <c r="D10" s="183"/>
      <c r="E10" s="183"/>
      <c r="F10" s="184"/>
    </row>
    <row r="12" spans="1:15" x14ac:dyDescent="0.3">
      <c r="C12">
        <v>0.1</v>
      </c>
      <c r="D12" t="s">
        <v>701</v>
      </c>
    </row>
    <row r="13" spans="1:15" ht="15" thickBot="1" x14ac:dyDescent="0.35"/>
    <row r="14" spans="1:15" ht="15" thickBot="1" x14ac:dyDescent="0.35">
      <c r="C14" s="182" t="s">
        <v>10</v>
      </c>
      <c r="D14" s="183"/>
      <c r="E14" s="183"/>
      <c r="F14" s="183"/>
      <c r="G14" s="183"/>
      <c r="H14" s="183"/>
      <c r="I14" s="184"/>
      <c r="K14" s="182" t="s">
        <v>9</v>
      </c>
      <c r="L14" s="183"/>
      <c r="M14" s="183"/>
      <c r="N14" s="183"/>
      <c r="O14" s="184"/>
    </row>
    <row r="16" spans="1:15" x14ac:dyDescent="0.3">
      <c r="K16" t="s">
        <v>793</v>
      </c>
    </row>
    <row r="17" spans="11:21" ht="72" hidden="1" outlineLevel="1" x14ac:dyDescent="0.3">
      <c r="K17" s="159" t="s">
        <v>700</v>
      </c>
      <c r="L17" s="158" t="s">
        <v>699</v>
      </c>
      <c r="M17" s="158" t="s">
        <v>618</v>
      </c>
      <c r="N17" s="158" t="s">
        <v>617</v>
      </c>
      <c r="O17" s="158" t="s">
        <v>698</v>
      </c>
      <c r="P17" s="157" t="s">
        <v>697</v>
      </c>
    </row>
    <row r="18" spans="11:21" hidden="1" outlineLevel="1" x14ac:dyDescent="0.3">
      <c r="K18" s="117" t="str" cm="1">
        <f t="array" ref="K18:K19">_xlfn.UNIQUE(D37:D336)</f>
        <v>Yes</v>
      </c>
      <c r="L18" s="32" t="str" cm="1">
        <f t="array" ref="L18:L27">_xlfn.UNIQUE(E37:E336)</f>
        <v>H</v>
      </c>
      <c r="M18" s="32" cm="1">
        <f t="array" ref="M18:M33">_xlfn.UNIQUE(F37:F336)</f>
        <v>66</v>
      </c>
      <c r="N18" s="32" t="str" cm="1">
        <f t="array" ref="N18:N19">_xlfn.UNIQUE(G37:G336)</f>
        <v>F</v>
      </c>
      <c r="O18" s="32" cm="1">
        <f t="array" ref="O18:O22">_xlfn.UNIQUE(H37:H336)</f>
        <v>0</v>
      </c>
      <c r="P18" s="116" cm="1">
        <f t="array" ref="P18:P23">_xlfn.UNIQUE(I37:I336)</f>
        <v>0</v>
      </c>
      <c r="T18" t="s">
        <v>792</v>
      </c>
    </row>
    <row r="19" spans="11:21" hidden="1" outlineLevel="1" x14ac:dyDescent="0.3">
      <c r="K19" s="117" t="str">
        <v>No</v>
      </c>
      <c r="L19" s="32" t="str">
        <v>E</v>
      </c>
      <c r="M19" s="32">
        <v>74</v>
      </c>
      <c r="N19" s="32" t="str">
        <v>M</v>
      </c>
      <c r="O19" s="32">
        <v>1</v>
      </c>
      <c r="P19" s="116">
        <v>1</v>
      </c>
    </row>
    <row r="20" spans="11:21" hidden="1" outlineLevel="1" x14ac:dyDescent="0.3">
      <c r="K20" s="117"/>
      <c r="L20" s="32" t="str">
        <v>B</v>
      </c>
      <c r="M20" s="32">
        <v>73</v>
      </c>
      <c r="N20" s="32"/>
      <c r="O20" s="32">
        <v>2</v>
      </c>
      <c r="P20" s="116">
        <v>2</v>
      </c>
    </row>
    <row r="21" spans="11:21" hidden="1" outlineLevel="1" x14ac:dyDescent="0.3">
      <c r="K21" s="117"/>
      <c r="L21" s="32" t="str">
        <v>A</v>
      </c>
      <c r="M21" s="32">
        <v>78</v>
      </c>
      <c r="N21" s="32"/>
      <c r="O21" s="32">
        <v>3</v>
      </c>
      <c r="P21" s="116">
        <v>3</v>
      </c>
      <c r="T21" t="s">
        <v>791</v>
      </c>
    </row>
    <row r="22" spans="11:21" hidden="1" outlineLevel="1" x14ac:dyDescent="0.3">
      <c r="K22" s="117"/>
      <c r="L22" s="32" t="str">
        <v>I</v>
      </c>
      <c r="M22" s="32">
        <v>72</v>
      </c>
      <c r="N22" s="32"/>
      <c r="O22" s="32">
        <v>4</v>
      </c>
      <c r="P22" s="116">
        <v>4</v>
      </c>
      <c r="T22" t="s">
        <v>700</v>
      </c>
      <c r="U22" t="s">
        <v>380</v>
      </c>
    </row>
    <row r="23" spans="11:21" hidden="1" outlineLevel="1" x14ac:dyDescent="0.3">
      <c r="K23" s="117"/>
      <c r="L23" s="32" t="str">
        <v>G</v>
      </c>
      <c r="M23" s="32">
        <v>68</v>
      </c>
      <c r="N23" s="32"/>
      <c r="O23" s="32"/>
      <c r="P23" s="116">
        <v>5</v>
      </c>
      <c r="T23" t="s">
        <v>650</v>
      </c>
      <c r="U23">
        <v>250</v>
      </c>
    </row>
    <row r="24" spans="11:21" hidden="1" outlineLevel="1" x14ac:dyDescent="0.3">
      <c r="K24" s="117"/>
      <c r="L24" s="32" t="str">
        <v>D</v>
      </c>
      <c r="M24" s="32">
        <v>70</v>
      </c>
      <c r="N24" s="32"/>
      <c r="O24" s="32"/>
      <c r="P24" s="116"/>
      <c r="T24" t="s">
        <v>649</v>
      </c>
      <c r="U24">
        <v>50</v>
      </c>
    </row>
    <row r="25" spans="11:21" hidden="1" outlineLevel="1" x14ac:dyDescent="0.3">
      <c r="K25" s="117"/>
      <c r="L25" s="32" t="str">
        <v>C</v>
      </c>
      <c r="M25" s="32">
        <v>71</v>
      </c>
      <c r="N25" s="32"/>
      <c r="O25" s="32"/>
      <c r="P25" s="116"/>
      <c r="T25" t="s">
        <v>627</v>
      </c>
      <c r="U25">
        <v>300</v>
      </c>
    </row>
    <row r="26" spans="11:21" hidden="1" outlineLevel="1" x14ac:dyDescent="0.3">
      <c r="K26" s="117"/>
      <c r="L26" s="32" t="str">
        <v>J</v>
      </c>
      <c r="M26" s="32">
        <v>69</v>
      </c>
      <c r="N26" s="32"/>
      <c r="O26" s="32"/>
      <c r="P26" s="116"/>
    </row>
    <row r="27" spans="11:21" hidden="1" outlineLevel="1" x14ac:dyDescent="0.3">
      <c r="K27" s="117"/>
      <c r="L27" s="32" t="str">
        <v>F</v>
      </c>
      <c r="M27" s="32">
        <v>79</v>
      </c>
      <c r="N27" s="32"/>
      <c r="O27" s="32"/>
      <c r="P27" s="116"/>
    </row>
    <row r="28" spans="11:21" hidden="1" outlineLevel="1" x14ac:dyDescent="0.3">
      <c r="K28" s="117"/>
      <c r="L28" s="32"/>
      <c r="M28" s="32">
        <v>67</v>
      </c>
      <c r="N28" s="32"/>
      <c r="O28" s="32"/>
      <c r="P28" s="116"/>
    </row>
    <row r="29" spans="11:21" hidden="1" outlineLevel="1" x14ac:dyDescent="0.3">
      <c r="K29" s="117"/>
      <c r="L29" s="32"/>
      <c r="M29" s="32">
        <v>75</v>
      </c>
      <c r="N29" s="32"/>
      <c r="O29" s="32"/>
      <c r="P29" s="116"/>
    </row>
    <row r="30" spans="11:21" hidden="1" outlineLevel="1" x14ac:dyDescent="0.3">
      <c r="K30" s="117"/>
      <c r="L30" s="32"/>
      <c r="M30" s="32">
        <v>76</v>
      </c>
      <c r="N30" s="32"/>
      <c r="O30" s="32"/>
      <c r="P30" s="116"/>
    </row>
    <row r="31" spans="11:21" hidden="1" outlineLevel="1" x14ac:dyDescent="0.3">
      <c r="K31" s="117"/>
      <c r="L31" s="32"/>
      <c r="M31" s="32">
        <v>77</v>
      </c>
      <c r="N31" s="32"/>
      <c r="O31" s="32"/>
      <c r="P31" s="116"/>
    </row>
    <row r="32" spans="11:21" hidden="1" outlineLevel="1" x14ac:dyDescent="0.3">
      <c r="K32" s="117"/>
      <c r="L32" s="32"/>
      <c r="M32" s="32">
        <v>65</v>
      </c>
      <c r="N32" s="32"/>
      <c r="O32" s="32"/>
      <c r="P32" s="116"/>
    </row>
    <row r="33" spans="3:31" hidden="1" outlineLevel="1" x14ac:dyDescent="0.3">
      <c r="K33" s="119"/>
      <c r="L33" s="35"/>
      <c r="M33" s="35">
        <v>80</v>
      </c>
      <c r="N33" s="35"/>
      <c r="O33" s="35"/>
      <c r="P33" s="118"/>
    </row>
    <row r="34" spans="3:31" collapsed="1" x14ac:dyDescent="0.3"/>
    <row r="35" spans="3:31" ht="28.95" customHeight="1" x14ac:dyDescent="0.3">
      <c r="M35" s="201" t="s">
        <v>790</v>
      </c>
      <c r="N35" s="202"/>
      <c r="O35" s="201" t="s">
        <v>789</v>
      </c>
      <c r="P35" s="202"/>
    </row>
    <row r="36" spans="3:31" ht="58.5" customHeight="1" x14ac:dyDescent="0.3">
      <c r="C36" s="137" t="s">
        <v>643</v>
      </c>
      <c r="D36" s="53" t="s">
        <v>700</v>
      </c>
      <c r="E36" s="53" t="s">
        <v>699</v>
      </c>
      <c r="F36" s="53" t="s">
        <v>618</v>
      </c>
      <c r="G36" s="53" t="s">
        <v>617</v>
      </c>
      <c r="H36" s="53" t="s">
        <v>698</v>
      </c>
      <c r="I36" s="53" t="s">
        <v>697</v>
      </c>
      <c r="K36" s="53" t="s">
        <v>788</v>
      </c>
      <c r="L36" s="53" t="s">
        <v>787</v>
      </c>
      <c r="M36" s="53" t="s">
        <v>649</v>
      </c>
      <c r="N36" s="53" t="s">
        <v>650</v>
      </c>
      <c r="O36" s="53" t="s">
        <v>649</v>
      </c>
      <c r="P36" s="53" t="s">
        <v>650</v>
      </c>
    </row>
    <row r="37" spans="3:31" x14ac:dyDescent="0.3">
      <c r="C37" s="117">
        <v>1</v>
      </c>
      <c r="D37" s="136" t="s">
        <v>649</v>
      </c>
      <c r="E37" s="136" t="s">
        <v>200</v>
      </c>
      <c r="F37" s="136">
        <v>66</v>
      </c>
      <c r="G37" s="136" t="s">
        <v>202</v>
      </c>
      <c r="H37" s="136">
        <v>0</v>
      </c>
      <c r="I37" s="136">
        <v>0</v>
      </c>
      <c r="K37" s="90" t="str">
        <f t="shared" ref="K37:K100" si="0">E37&amp;F37&amp;G37</f>
        <v>H66F</v>
      </c>
      <c r="L37" s="90">
        <f t="shared" ref="L37:L68" si="1">COUNTIFS($D$37:$D$336,"No",$K$37:$K$336,K37)</f>
        <v>1</v>
      </c>
      <c r="M37" s="90">
        <f t="shared" ref="M37:M68" si="2">SUMIFS($H$37:$H$336,$D$37:$D$336,$M$36,$K$37:$K$336,$K37)</f>
        <v>0</v>
      </c>
      <c r="N37" s="90">
        <f t="shared" ref="N37:N68" si="3">SUMIFS($H$37:$H$336,$D$37:$D$336,$N$36,$K$37:$K$336,$K37)</f>
        <v>0</v>
      </c>
      <c r="O37" s="90">
        <f t="shared" ref="O37:O68" si="4">SUMIFS($I$37:$I$336,$D$37:$D$336,$O$36,$K$37:$K$336,$K37)</f>
        <v>0</v>
      </c>
      <c r="P37" s="90">
        <f t="shared" ref="P37:P68" si="5">SUMIFS($I$37:$I$336,$D$37:$D$336,$P$36,$K$37:$K$336,$K37)</f>
        <v>1</v>
      </c>
    </row>
    <row r="38" spans="3:31" x14ac:dyDescent="0.3">
      <c r="C38" s="117">
        <v>2</v>
      </c>
      <c r="D38" s="136" t="s">
        <v>649</v>
      </c>
      <c r="E38" s="136" t="s">
        <v>203</v>
      </c>
      <c r="F38" s="136">
        <v>74</v>
      </c>
      <c r="G38" s="136" t="s">
        <v>195</v>
      </c>
      <c r="H38" s="136">
        <v>0</v>
      </c>
      <c r="I38" s="136">
        <v>0</v>
      </c>
      <c r="K38" s="90" t="str">
        <f t="shared" si="0"/>
        <v>E74M</v>
      </c>
      <c r="L38" s="90">
        <f t="shared" si="1"/>
        <v>1</v>
      </c>
      <c r="M38" s="90">
        <f t="shared" si="2"/>
        <v>0</v>
      </c>
      <c r="N38" s="90">
        <f t="shared" si="3"/>
        <v>0</v>
      </c>
      <c r="O38" s="90">
        <f t="shared" si="4"/>
        <v>0</v>
      </c>
      <c r="P38" s="90">
        <f t="shared" si="5"/>
        <v>0</v>
      </c>
      <c r="S38">
        <f>COUNTIFS($L$37:$L$86,1)</f>
        <v>50</v>
      </c>
      <c r="T38" t="s">
        <v>786</v>
      </c>
    </row>
    <row r="39" spans="3:31" x14ac:dyDescent="0.3">
      <c r="C39" s="117">
        <v>3</v>
      </c>
      <c r="D39" s="136" t="s">
        <v>649</v>
      </c>
      <c r="E39" s="136" t="s">
        <v>69</v>
      </c>
      <c r="F39" s="136">
        <v>73</v>
      </c>
      <c r="G39" s="136" t="s">
        <v>195</v>
      </c>
      <c r="H39" s="136">
        <v>0</v>
      </c>
      <c r="I39" s="136">
        <v>0</v>
      </c>
      <c r="K39" s="90" t="str">
        <f t="shared" si="0"/>
        <v>B73M</v>
      </c>
      <c r="L39" s="90">
        <f t="shared" si="1"/>
        <v>1</v>
      </c>
      <c r="M39" s="90">
        <f t="shared" si="2"/>
        <v>0</v>
      </c>
      <c r="N39" s="90">
        <f t="shared" si="3"/>
        <v>0</v>
      </c>
      <c r="O39" s="90">
        <f t="shared" si="4"/>
        <v>0</v>
      </c>
      <c r="P39" s="90">
        <f t="shared" si="5"/>
        <v>0</v>
      </c>
    </row>
    <row r="40" spans="3:31" x14ac:dyDescent="0.3">
      <c r="C40" s="117">
        <v>4</v>
      </c>
      <c r="D40" s="136" t="s">
        <v>649</v>
      </c>
      <c r="E40" s="136" t="s">
        <v>70</v>
      </c>
      <c r="F40" s="136">
        <v>78</v>
      </c>
      <c r="G40" s="136" t="s">
        <v>202</v>
      </c>
      <c r="H40" s="136">
        <v>1</v>
      </c>
      <c r="I40" s="136">
        <v>1</v>
      </c>
      <c r="K40" s="90" t="str">
        <f t="shared" si="0"/>
        <v>A78F</v>
      </c>
      <c r="L40" s="90">
        <f t="shared" si="1"/>
        <v>1</v>
      </c>
      <c r="M40" s="90">
        <f t="shared" si="2"/>
        <v>1</v>
      </c>
      <c r="N40" s="90">
        <f t="shared" si="3"/>
        <v>1</v>
      </c>
      <c r="O40" s="90">
        <f t="shared" si="4"/>
        <v>1</v>
      </c>
      <c r="P40" s="90">
        <f t="shared" si="5"/>
        <v>1</v>
      </c>
    </row>
    <row r="41" spans="3:31" x14ac:dyDescent="0.3">
      <c r="C41" s="117">
        <v>5</v>
      </c>
      <c r="D41" s="136" t="s">
        <v>649</v>
      </c>
      <c r="E41" s="136" t="s">
        <v>199</v>
      </c>
      <c r="F41" s="136">
        <v>66</v>
      </c>
      <c r="G41" s="136" t="s">
        <v>195</v>
      </c>
      <c r="H41" s="136">
        <v>0</v>
      </c>
      <c r="I41" s="136">
        <v>1</v>
      </c>
      <c r="K41" s="90" t="str">
        <f t="shared" si="0"/>
        <v>I66M</v>
      </c>
      <c r="L41" s="90">
        <f t="shared" si="1"/>
        <v>1</v>
      </c>
      <c r="M41" s="90">
        <f t="shared" si="2"/>
        <v>0</v>
      </c>
      <c r="N41" s="90">
        <f t="shared" si="3"/>
        <v>1</v>
      </c>
      <c r="O41" s="90">
        <f t="shared" si="4"/>
        <v>1</v>
      </c>
      <c r="P41" s="90">
        <f t="shared" si="5"/>
        <v>1</v>
      </c>
      <c r="S41" s="73" t="s">
        <v>785</v>
      </c>
    </row>
    <row r="42" spans="3:31" x14ac:dyDescent="0.3">
      <c r="C42" s="117">
        <v>6</v>
      </c>
      <c r="D42" s="136" t="s">
        <v>649</v>
      </c>
      <c r="E42" s="136" t="s">
        <v>201</v>
      </c>
      <c r="F42" s="136">
        <v>72</v>
      </c>
      <c r="G42" s="136" t="s">
        <v>202</v>
      </c>
      <c r="H42" s="136">
        <v>0</v>
      </c>
      <c r="I42" s="136">
        <v>0</v>
      </c>
      <c r="K42" s="90" t="str">
        <f t="shared" si="0"/>
        <v>G72F</v>
      </c>
      <c r="L42" s="90">
        <f t="shared" si="1"/>
        <v>1</v>
      </c>
      <c r="M42" s="90">
        <f t="shared" si="2"/>
        <v>0</v>
      </c>
      <c r="N42" s="90">
        <f t="shared" si="3"/>
        <v>0</v>
      </c>
      <c r="O42" s="90">
        <f t="shared" si="4"/>
        <v>0</v>
      </c>
      <c r="P42" s="90">
        <f t="shared" si="5"/>
        <v>0</v>
      </c>
      <c r="S42" t="s">
        <v>781</v>
      </c>
    </row>
    <row r="43" spans="3:31" x14ac:dyDescent="0.3">
      <c r="C43" s="117">
        <v>7</v>
      </c>
      <c r="D43" s="136" t="s">
        <v>649</v>
      </c>
      <c r="E43" s="136" t="s">
        <v>203</v>
      </c>
      <c r="F43" s="136">
        <v>74</v>
      </c>
      <c r="G43" s="136" t="s">
        <v>202</v>
      </c>
      <c r="H43" s="136">
        <v>0</v>
      </c>
      <c r="I43" s="136">
        <v>0</v>
      </c>
      <c r="K43" s="90" t="str">
        <f t="shared" si="0"/>
        <v>E74F</v>
      </c>
      <c r="L43" s="90">
        <f t="shared" si="1"/>
        <v>1</v>
      </c>
      <c r="M43" s="90">
        <f t="shared" si="2"/>
        <v>0</v>
      </c>
      <c r="N43" s="90">
        <f t="shared" si="3"/>
        <v>0</v>
      </c>
      <c r="O43" s="90">
        <f t="shared" si="4"/>
        <v>0</v>
      </c>
      <c r="P43" s="90">
        <f t="shared" si="5"/>
        <v>0</v>
      </c>
      <c r="S43" s="2" t="s">
        <v>777</v>
      </c>
      <c r="T43" s="2" t="s">
        <v>780</v>
      </c>
      <c r="U43" s="2" t="s">
        <v>464</v>
      </c>
      <c r="V43" s="2" t="s">
        <v>779</v>
      </c>
      <c r="X43" t="s">
        <v>784</v>
      </c>
    </row>
    <row r="44" spans="3:31" x14ac:dyDescent="0.3">
      <c r="C44" s="117">
        <v>8</v>
      </c>
      <c r="D44" s="136" t="s">
        <v>649</v>
      </c>
      <c r="E44" s="136" t="s">
        <v>204</v>
      </c>
      <c r="F44" s="136">
        <v>68</v>
      </c>
      <c r="G44" s="136" t="s">
        <v>195</v>
      </c>
      <c r="H44" s="136">
        <v>0</v>
      </c>
      <c r="I44" s="136">
        <v>0</v>
      </c>
      <c r="K44" s="90" t="str">
        <f t="shared" si="0"/>
        <v>D68M</v>
      </c>
      <c r="L44" s="90">
        <f t="shared" si="1"/>
        <v>1</v>
      </c>
      <c r="M44" s="90">
        <f t="shared" si="2"/>
        <v>0</v>
      </c>
      <c r="N44" s="90">
        <f t="shared" si="3"/>
        <v>0</v>
      </c>
      <c r="O44" s="90">
        <f t="shared" si="4"/>
        <v>0</v>
      </c>
      <c r="P44" s="90">
        <f t="shared" si="5"/>
        <v>1</v>
      </c>
      <c r="S44" t="s">
        <v>649</v>
      </c>
      <c r="T44">
        <f>SUM(M37:M86)</f>
        <v>24</v>
      </c>
      <c r="U44">
        <f>COUNT($L$37:$L$86)</f>
        <v>50</v>
      </c>
      <c r="V44">
        <f>T44/U44</f>
        <v>0.48</v>
      </c>
      <c r="X44" s="70">
        <f>(V44-V45)/V45</f>
        <v>-0.25000000000000006</v>
      </c>
      <c r="Y44" s="23" t="s">
        <v>783</v>
      </c>
      <c r="Z44" s="23"/>
      <c r="AA44" s="23"/>
      <c r="AB44" s="23"/>
      <c r="AC44" s="23"/>
      <c r="AD44" s="23"/>
      <c r="AE44" s="23"/>
    </row>
    <row r="45" spans="3:31" x14ac:dyDescent="0.3">
      <c r="C45" s="117">
        <v>9</v>
      </c>
      <c r="D45" s="136" t="s">
        <v>649</v>
      </c>
      <c r="E45" s="136" t="s">
        <v>70</v>
      </c>
      <c r="F45" s="136">
        <v>70</v>
      </c>
      <c r="G45" s="136" t="s">
        <v>202</v>
      </c>
      <c r="H45" s="136">
        <v>1</v>
      </c>
      <c r="I45" s="136">
        <v>2</v>
      </c>
      <c r="K45" s="90" t="str">
        <f t="shared" si="0"/>
        <v>A70F</v>
      </c>
      <c r="L45" s="90">
        <f t="shared" si="1"/>
        <v>1</v>
      </c>
      <c r="M45" s="90">
        <f t="shared" si="2"/>
        <v>1</v>
      </c>
      <c r="N45" s="90">
        <f t="shared" si="3"/>
        <v>1</v>
      </c>
      <c r="O45" s="90">
        <f t="shared" si="4"/>
        <v>2</v>
      </c>
      <c r="P45" s="90">
        <f t="shared" si="5"/>
        <v>1</v>
      </c>
      <c r="S45" t="s">
        <v>650</v>
      </c>
      <c r="T45">
        <f>SUM(N37:N86)</f>
        <v>32</v>
      </c>
      <c r="U45">
        <f>COUNT($L$37:$L$86)</f>
        <v>50</v>
      </c>
      <c r="V45">
        <f>T45/U45</f>
        <v>0.64</v>
      </c>
      <c r="X45" s="49"/>
    </row>
    <row r="46" spans="3:31" x14ac:dyDescent="0.3">
      <c r="C46" s="117">
        <v>10</v>
      </c>
      <c r="D46" s="136" t="s">
        <v>649</v>
      </c>
      <c r="E46" s="136" t="s">
        <v>203</v>
      </c>
      <c r="F46" s="136">
        <v>66</v>
      </c>
      <c r="G46" s="136" t="s">
        <v>195</v>
      </c>
      <c r="H46" s="136">
        <v>0</v>
      </c>
      <c r="I46" s="136">
        <v>0</v>
      </c>
      <c r="K46" s="90" t="str">
        <f t="shared" si="0"/>
        <v>E66M</v>
      </c>
      <c r="L46" s="90">
        <f t="shared" si="1"/>
        <v>1</v>
      </c>
      <c r="M46" s="90">
        <f t="shared" si="2"/>
        <v>0</v>
      </c>
      <c r="N46" s="90">
        <f t="shared" si="3"/>
        <v>1</v>
      </c>
      <c r="O46" s="90">
        <f t="shared" si="4"/>
        <v>0</v>
      </c>
      <c r="P46" s="90">
        <f t="shared" si="5"/>
        <v>2</v>
      </c>
      <c r="X46" s="49"/>
    </row>
    <row r="47" spans="3:31" x14ac:dyDescent="0.3">
      <c r="C47" s="117">
        <v>11</v>
      </c>
      <c r="D47" s="136" t="s">
        <v>649</v>
      </c>
      <c r="E47" s="136" t="s">
        <v>68</v>
      </c>
      <c r="F47" s="136">
        <v>71</v>
      </c>
      <c r="G47" s="136" t="s">
        <v>195</v>
      </c>
      <c r="H47" s="136">
        <v>0</v>
      </c>
      <c r="I47" s="136">
        <v>0</v>
      </c>
      <c r="K47" s="90" t="str">
        <f t="shared" si="0"/>
        <v>C71M</v>
      </c>
      <c r="L47" s="90">
        <f t="shared" si="1"/>
        <v>1</v>
      </c>
      <c r="M47" s="90">
        <f t="shared" si="2"/>
        <v>0</v>
      </c>
      <c r="N47" s="90">
        <f t="shared" si="3"/>
        <v>0</v>
      </c>
      <c r="O47" s="90">
        <f t="shared" si="4"/>
        <v>0</v>
      </c>
      <c r="P47" s="90">
        <f t="shared" si="5"/>
        <v>0</v>
      </c>
      <c r="S47" t="s">
        <v>778</v>
      </c>
      <c r="X47" s="49"/>
    </row>
    <row r="48" spans="3:31" x14ac:dyDescent="0.3">
      <c r="C48" s="117">
        <v>12</v>
      </c>
      <c r="D48" s="136" t="s">
        <v>649</v>
      </c>
      <c r="E48" s="136" t="s">
        <v>198</v>
      </c>
      <c r="F48" s="136">
        <v>69</v>
      </c>
      <c r="G48" s="136" t="s">
        <v>202</v>
      </c>
      <c r="H48" s="136">
        <v>1</v>
      </c>
      <c r="I48" s="136">
        <v>1</v>
      </c>
      <c r="K48" s="90" t="str">
        <f t="shared" si="0"/>
        <v>J69F</v>
      </c>
      <c r="L48" s="90">
        <f t="shared" si="1"/>
        <v>1</v>
      </c>
      <c r="M48" s="90">
        <f t="shared" si="2"/>
        <v>1</v>
      </c>
      <c r="N48" s="90">
        <f t="shared" si="3"/>
        <v>3</v>
      </c>
      <c r="O48" s="90">
        <f t="shared" si="4"/>
        <v>1</v>
      </c>
      <c r="P48" s="90">
        <f t="shared" si="5"/>
        <v>3</v>
      </c>
      <c r="S48" s="2" t="s">
        <v>777</v>
      </c>
      <c r="T48" s="2" t="s">
        <v>776</v>
      </c>
      <c r="U48" s="2" t="s">
        <v>464</v>
      </c>
      <c r="V48" s="2" t="s">
        <v>775</v>
      </c>
      <c r="X48" s="49"/>
    </row>
    <row r="49" spans="3:31" x14ac:dyDescent="0.3">
      <c r="C49" s="117">
        <v>13</v>
      </c>
      <c r="D49" s="136" t="s">
        <v>649</v>
      </c>
      <c r="E49" s="136" t="s">
        <v>69</v>
      </c>
      <c r="F49" s="136">
        <v>68</v>
      </c>
      <c r="G49" s="136" t="s">
        <v>195</v>
      </c>
      <c r="H49" s="136">
        <v>0</v>
      </c>
      <c r="I49" s="136">
        <v>0</v>
      </c>
      <c r="K49" s="90" t="str">
        <f t="shared" si="0"/>
        <v>B68M</v>
      </c>
      <c r="L49" s="90">
        <f t="shared" si="1"/>
        <v>1</v>
      </c>
      <c r="M49" s="90">
        <f t="shared" si="2"/>
        <v>0</v>
      </c>
      <c r="N49" s="90">
        <f t="shared" si="3"/>
        <v>0</v>
      </c>
      <c r="O49" s="90">
        <f t="shared" si="4"/>
        <v>0</v>
      </c>
      <c r="P49" s="90">
        <f t="shared" si="5"/>
        <v>0</v>
      </c>
      <c r="S49" t="s">
        <v>649</v>
      </c>
      <c r="T49">
        <f>SUM(O37:O86)</f>
        <v>32</v>
      </c>
      <c r="U49">
        <f>COUNT($L$37:$L$86)</f>
        <v>50</v>
      </c>
      <c r="V49">
        <f>T49/U49</f>
        <v>0.64</v>
      </c>
      <c r="X49" s="70">
        <f>(V49-V50)/V50</f>
        <v>-0.20000000000000004</v>
      </c>
      <c r="Y49" s="23" t="s">
        <v>783</v>
      </c>
      <c r="Z49" s="23"/>
      <c r="AA49" s="23"/>
      <c r="AB49" s="23"/>
      <c r="AC49" s="23"/>
      <c r="AD49" s="23"/>
      <c r="AE49" s="23"/>
    </row>
    <row r="50" spans="3:31" x14ac:dyDescent="0.3">
      <c r="C50" s="117">
        <v>14</v>
      </c>
      <c r="D50" s="136" t="s">
        <v>649</v>
      </c>
      <c r="E50" s="136" t="s">
        <v>69</v>
      </c>
      <c r="F50" s="136">
        <v>69</v>
      </c>
      <c r="G50" s="136" t="s">
        <v>202</v>
      </c>
      <c r="H50" s="136">
        <v>2</v>
      </c>
      <c r="I50" s="136">
        <v>3</v>
      </c>
      <c r="K50" s="90" t="str">
        <f t="shared" si="0"/>
        <v>B69F</v>
      </c>
      <c r="L50" s="90">
        <f t="shared" si="1"/>
        <v>1</v>
      </c>
      <c r="M50" s="90">
        <f t="shared" si="2"/>
        <v>2</v>
      </c>
      <c r="N50" s="90">
        <f t="shared" si="3"/>
        <v>0</v>
      </c>
      <c r="O50" s="90">
        <f t="shared" si="4"/>
        <v>3</v>
      </c>
      <c r="P50" s="90">
        <f t="shared" si="5"/>
        <v>0</v>
      </c>
      <c r="S50" t="s">
        <v>650</v>
      </c>
      <c r="T50">
        <f>SUM(P37:P86)</f>
        <v>40</v>
      </c>
      <c r="U50">
        <f>COUNT($L$37:$L$86)</f>
        <v>50</v>
      </c>
      <c r="V50">
        <f>T50/U50</f>
        <v>0.8</v>
      </c>
      <c r="X50" s="49"/>
    </row>
    <row r="51" spans="3:31" x14ac:dyDescent="0.3">
      <c r="C51" s="117">
        <v>15</v>
      </c>
      <c r="D51" s="136" t="s">
        <v>649</v>
      </c>
      <c r="E51" s="136" t="s">
        <v>201</v>
      </c>
      <c r="F51" s="136">
        <v>74</v>
      </c>
      <c r="G51" s="136" t="s">
        <v>202</v>
      </c>
      <c r="H51" s="136">
        <v>1</v>
      </c>
      <c r="I51" s="136">
        <v>0</v>
      </c>
      <c r="K51" s="90" t="str">
        <f t="shared" si="0"/>
        <v>G74F</v>
      </c>
      <c r="L51" s="90">
        <f t="shared" si="1"/>
        <v>1</v>
      </c>
      <c r="M51" s="90">
        <f t="shared" si="2"/>
        <v>1</v>
      </c>
      <c r="N51" s="90">
        <f t="shared" si="3"/>
        <v>0</v>
      </c>
      <c r="O51" s="90">
        <f t="shared" si="4"/>
        <v>0</v>
      </c>
      <c r="P51" s="90">
        <f t="shared" si="5"/>
        <v>1</v>
      </c>
      <c r="X51" s="49"/>
    </row>
    <row r="52" spans="3:31" x14ac:dyDescent="0.3">
      <c r="C52" s="117">
        <v>16</v>
      </c>
      <c r="D52" s="136" t="s">
        <v>649</v>
      </c>
      <c r="E52" s="136" t="s">
        <v>202</v>
      </c>
      <c r="F52" s="136">
        <v>79</v>
      </c>
      <c r="G52" s="136" t="s">
        <v>195</v>
      </c>
      <c r="H52" s="136">
        <v>0</v>
      </c>
      <c r="I52" s="136">
        <v>0</v>
      </c>
      <c r="K52" s="90" t="str">
        <f t="shared" si="0"/>
        <v>F79M</v>
      </c>
      <c r="L52" s="90">
        <f t="shared" si="1"/>
        <v>1</v>
      </c>
      <c r="M52" s="90">
        <f t="shared" si="2"/>
        <v>0</v>
      </c>
      <c r="N52" s="90">
        <f t="shared" si="3"/>
        <v>1</v>
      </c>
      <c r="O52" s="90">
        <f t="shared" si="4"/>
        <v>0</v>
      </c>
      <c r="P52" s="90">
        <f t="shared" si="5"/>
        <v>2</v>
      </c>
      <c r="S52" s="73" t="s">
        <v>782</v>
      </c>
      <c r="X52" s="49"/>
    </row>
    <row r="53" spans="3:31" x14ac:dyDescent="0.3">
      <c r="C53" s="117">
        <v>17</v>
      </c>
      <c r="D53" s="136" t="s">
        <v>649</v>
      </c>
      <c r="E53" s="136" t="s">
        <v>201</v>
      </c>
      <c r="F53" s="136">
        <v>78</v>
      </c>
      <c r="G53" s="136" t="s">
        <v>202</v>
      </c>
      <c r="H53" s="136">
        <v>1</v>
      </c>
      <c r="I53" s="136">
        <v>1</v>
      </c>
      <c r="K53" s="90" t="str">
        <f t="shared" si="0"/>
        <v>G78F</v>
      </c>
      <c r="L53" s="90">
        <f t="shared" si="1"/>
        <v>1</v>
      </c>
      <c r="M53" s="90">
        <f t="shared" si="2"/>
        <v>1</v>
      </c>
      <c r="N53" s="90">
        <f t="shared" si="3"/>
        <v>1</v>
      </c>
      <c r="O53" s="90">
        <f t="shared" si="4"/>
        <v>1</v>
      </c>
      <c r="P53" s="90">
        <f t="shared" si="5"/>
        <v>0</v>
      </c>
      <c r="S53" t="s">
        <v>781</v>
      </c>
      <c r="X53" s="49"/>
    </row>
    <row r="54" spans="3:31" x14ac:dyDescent="0.3">
      <c r="C54" s="117">
        <v>18</v>
      </c>
      <c r="D54" s="136" t="s">
        <v>649</v>
      </c>
      <c r="E54" s="136" t="s">
        <v>202</v>
      </c>
      <c r="F54" s="136">
        <v>71</v>
      </c>
      <c r="G54" s="136" t="s">
        <v>195</v>
      </c>
      <c r="H54" s="136">
        <v>0</v>
      </c>
      <c r="I54" s="136">
        <v>0</v>
      </c>
      <c r="K54" s="90" t="str">
        <f t="shared" si="0"/>
        <v>F71M</v>
      </c>
      <c r="L54" s="90">
        <f t="shared" si="1"/>
        <v>1</v>
      </c>
      <c r="M54" s="90">
        <f t="shared" si="2"/>
        <v>0</v>
      </c>
      <c r="N54" s="90">
        <f t="shared" si="3"/>
        <v>0</v>
      </c>
      <c r="O54" s="90">
        <f t="shared" si="4"/>
        <v>0</v>
      </c>
      <c r="P54" s="90">
        <f t="shared" si="5"/>
        <v>0</v>
      </c>
      <c r="S54" s="2" t="s">
        <v>777</v>
      </c>
      <c r="T54" s="2" t="s">
        <v>780</v>
      </c>
      <c r="U54" s="2" t="s">
        <v>464</v>
      </c>
      <c r="V54" s="2" t="s">
        <v>779</v>
      </c>
      <c r="X54" s="49"/>
    </row>
    <row r="55" spans="3:31" x14ac:dyDescent="0.3">
      <c r="C55" s="117">
        <v>19</v>
      </c>
      <c r="D55" s="136" t="s">
        <v>649</v>
      </c>
      <c r="E55" s="136" t="s">
        <v>198</v>
      </c>
      <c r="F55" s="136">
        <v>70</v>
      </c>
      <c r="G55" s="136" t="s">
        <v>195</v>
      </c>
      <c r="H55" s="136">
        <v>0</v>
      </c>
      <c r="I55" s="136">
        <v>0</v>
      </c>
      <c r="K55" s="90" t="str">
        <f t="shared" si="0"/>
        <v>J70M</v>
      </c>
      <c r="L55" s="90">
        <f t="shared" si="1"/>
        <v>1</v>
      </c>
      <c r="M55" s="90">
        <f t="shared" si="2"/>
        <v>0</v>
      </c>
      <c r="N55" s="90">
        <f t="shared" si="3"/>
        <v>1</v>
      </c>
      <c r="O55" s="90">
        <f t="shared" si="4"/>
        <v>0</v>
      </c>
      <c r="P55" s="90">
        <f t="shared" si="5"/>
        <v>1</v>
      </c>
      <c r="S55" t="s">
        <v>649</v>
      </c>
      <c r="T55">
        <f>SUMIFS($H$37:$H$336,$D$37:$D$336,$S$55)</f>
        <v>24</v>
      </c>
      <c r="U55">
        <f>COUNTIFS($D$37:$D$336,$S$55)</f>
        <v>50</v>
      </c>
      <c r="V55">
        <f>T55/U55</f>
        <v>0.48</v>
      </c>
      <c r="X55" s="70">
        <f>(V55-V56)/V56</f>
        <v>0</v>
      </c>
      <c r="Y55" s="23" t="s">
        <v>774</v>
      </c>
      <c r="Z55" s="23"/>
      <c r="AA55" s="23"/>
      <c r="AB55" s="23"/>
      <c r="AC55" s="23"/>
      <c r="AD55" s="23"/>
      <c r="AE55" s="23"/>
    </row>
    <row r="56" spans="3:31" x14ac:dyDescent="0.3">
      <c r="C56" s="117">
        <v>20</v>
      </c>
      <c r="D56" s="136" t="s">
        <v>649</v>
      </c>
      <c r="E56" s="136" t="s">
        <v>70</v>
      </c>
      <c r="F56" s="136">
        <v>67</v>
      </c>
      <c r="G56" s="136" t="s">
        <v>195</v>
      </c>
      <c r="H56" s="136">
        <v>0</v>
      </c>
      <c r="I56" s="136">
        <v>1</v>
      </c>
      <c r="K56" s="90" t="str">
        <f t="shared" si="0"/>
        <v>A67M</v>
      </c>
      <c r="L56" s="90">
        <f t="shared" si="1"/>
        <v>1</v>
      </c>
      <c r="M56" s="90">
        <f t="shared" si="2"/>
        <v>0</v>
      </c>
      <c r="N56" s="90">
        <f t="shared" si="3"/>
        <v>0</v>
      </c>
      <c r="O56" s="90">
        <f t="shared" si="4"/>
        <v>1</v>
      </c>
      <c r="P56" s="90">
        <f t="shared" si="5"/>
        <v>1</v>
      </c>
      <c r="S56" t="s">
        <v>650</v>
      </c>
      <c r="T56">
        <f>SUMIFS($H$37:$H$336,$D$37:$D$336,$S$56)</f>
        <v>120</v>
      </c>
      <c r="U56">
        <f>COUNTIFS($D$37:$D$336,$S$56)</f>
        <v>250</v>
      </c>
      <c r="V56">
        <f>T56/U56</f>
        <v>0.48</v>
      </c>
      <c r="X56" s="49"/>
    </row>
    <row r="57" spans="3:31" x14ac:dyDescent="0.3">
      <c r="C57" s="117">
        <v>21</v>
      </c>
      <c r="D57" s="136" t="s">
        <v>649</v>
      </c>
      <c r="E57" s="136" t="s">
        <v>68</v>
      </c>
      <c r="F57" s="136">
        <v>75</v>
      </c>
      <c r="G57" s="136" t="s">
        <v>195</v>
      </c>
      <c r="H57" s="136">
        <v>1</v>
      </c>
      <c r="I57" s="136">
        <v>0</v>
      </c>
      <c r="K57" s="90" t="str">
        <f t="shared" si="0"/>
        <v>C75M</v>
      </c>
      <c r="L57" s="90">
        <f t="shared" si="1"/>
        <v>1</v>
      </c>
      <c r="M57" s="90">
        <f t="shared" si="2"/>
        <v>1</v>
      </c>
      <c r="N57" s="90">
        <f t="shared" si="3"/>
        <v>1</v>
      </c>
      <c r="O57" s="90">
        <f t="shared" si="4"/>
        <v>0</v>
      </c>
      <c r="P57" s="90">
        <f t="shared" si="5"/>
        <v>1</v>
      </c>
      <c r="X57" s="49"/>
    </row>
    <row r="58" spans="3:31" x14ac:dyDescent="0.3">
      <c r="C58" s="117">
        <v>22</v>
      </c>
      <c r="D58" s="136" t="s">
        <v>649</v>
      </c>
      <c r="E58" s="136" t="s">
        <v>70</v>
      </c>
      <c r="F58" s="136">
        <v>76</v>
      </c>
      <c r="G58" s="136" t="s">
        <v>202</v>
      </c>
      <c r="H58" s="136">
        <v>0</v>
      </c>
      <c r="I58" s="136">
        <v>0</v>
      </c>
      <c r="K58" s="90" t="str">
        <f t="shared" si="0"/>
        <v>A76F</v>
      </c>
      <c r="L58" s="90">
        <f t="shared" si="1"/>
        <v>1</v>
      </c>
      <c r="M58" s="90">
        <f t="shared" si="2"/>
        <v>0</v>
      </c>
      <c r="N58" s="90">
        <f t="shared" si="3"/>
        <v>0</v>
      </c>
      <c r="O58" s="90">
        <f t="shared" si="4"/>
        <v>0</v>
      </c>
      <c r="P58" s="90">
        <f t="shared" si="5"/>
        <v>0</v>
      </c>
      <c r="S58" t="s">
        <v>778</v>
      </c>
      <c r="X58" s="49"/>
    </row>
    <row r="59" spans="3:31" x14ac:dyDescent="0.3">
      <c r="C59" s="117">
        <v>23</v>
      </c>
      <c r="D59" s="136" t="s">
        <v>649</v>
      </c>
      <c r="E59" s="136" t="s">
        <v>69</v>
      </c>
      <c r="F59" s="136">
        <v>74</v>
      </c>
      <c r="G59" s="136" t="s">
        <v>202</v>
      </c>
      <c r="H59" s="136">
        <v>1</v>
      </c>
      <c r="I59" s="136">
        <v>1</v>
      </c>
      <c r="K59" s="90" t="str">
        <f t="shared" si="0"/>
        <v>B74F</v>
      </c>
      <c r="L59" s="90">
        <f t="shared" si="1"/>
        <v>1</v>
      </c>
      <c r="M59" s="90">
        <f t="shared" si="2"/>
        <v>1</v>
      </c>
      <c r="N59" s="90">
        <f t="shared" si="3"/>
        <v>1</v>
      </c>
      <c r="O59" s="90">
        <f t="shared" si="4"/>
        <v>1</v>
      </c>
      <c r="P59" s="90">
        <f t="shared" si="5"/>
        <v>2</v>
      </c>
      <c r="S59" s="2" t="s">
        <v>777</v>
      </c>
      <c r="T59" s="2" t="s">
        <v>776</v>
      </c>
      <c r="U59" s="2" t="s">
        <v>464</v>
      </c>
      <c r="V59" s="2" t="s">
        <v>775</v>
      </c>
      <c r="X59" s="49"/>
    </row>
    <row r="60" spans="3:31" x14ac:dyDescent="0.3">
      <c r="C60" s="117">
        <v>24</v>
      </c>
      <c r="D60" s="136" t="s">
        <v>649</v>
      </c>
      <c r="E60" s="136" t="s">
        <v>68</v>
      </c>
      <c r="F60" s="136">
        <v>73</v>
      </c>
      <c r="G60" s="136" t="s">
        <v>195</v>
      </c>
      <c r="H60" s="136">
        <v>1</v>
      </c>
      <c r="I60" s="136">
        <v>1</v>
      </c>
      <c r="K60" s="90" t="str">
        <f t="shared" si="0"/>
        <v>C73M</v>
      </c>
      <c r="L60" s="90">
        <f t="shared" si="1"/>
        <v>1</v>
      </c>
      <c r="M60" s="90">
        <f t="shared" si="2"/>
        <v>1</v>
      </c>
      <c r="N60" s="90">
        <f t="shared" si="3"/>
        <v>0</v>
      </c>
      <c r="O60" s="90">
        <f t="shared" si="4"/>
        <v>1</v>
      </c>
      <c r="P60" s="90">
        <f t="shared" si="5"/>
        <v>0</v>
      </c>
      <c r="S60" t="s">
        <v>649</v>
      </c>
      <c r="T60">
        <f>SUMIFS($I$37:$I$336,$D$37:$D$336,$S$60)</f>
        <v>32</v>
      </c>
      <c r="U60">
        <f>COUNTIFS($D$37:$D$336,$S$60)</f>
        <v>50</v>
      </c>
      <c r="V60">
        <f>T60/U60</f>
        <v>0.64</v>
      </c>
      <c r="X60" s="70">
        <f>(V60-V61)/V61</f>
        <v>0</v>
      </c>
      <c r="Y60" s="23" t="s">
        <v>774</v>
      </c>
      <c r="Z60" s="23"/>
      <c r="AA60" s="23"/>
      <c r="AB60" s="23"/>
      <c r="AC60" s="23"/>
      <c r="AD60" s="23"/>
      <c r="AE60" s="23"/>
    </row>
    <row r="61" spans="3:31" x14ac:dyDescent="0.3">
      <c r="C61" s="117">
        <v>25</v>
      </c>
      <c r="D61" s="136" t="s">
        <v>649</v>
      </c>
      <c r="E61" s="136" t="s">
        <v>200</v>
      </c>
      <c r="F61" s="136">
        <v>77</v>
      </c>
      <c r="G61" s="136" t="s">
        <v>195</v>
      </c>
      <c r="H61" s="136">
        <v>0</v>
      </c>
      <c r="I61" s="136">
        <v>2</v>
      </c>
      <c r="K61" s="90" t="str">
        <f t="shared" si="0"/>
        <v>H77M</v>
      </c>
      <c r="L61" s="90">
        <f t="shared" si="1"/>
        <v>1</v>
      </c>
      <c r="M61" s="90">
        <f t="shared" si="2"/>
        <v>0</v>
      </c>
      <c r="N61" s="90">
        <f t="shared" si="3"/>
        <v>0</v>
      </c>
      <c r="O61" s="90">
        <f t="shared" si="4"/>
        <v>2</v>
      </c>
      <c r="P61" s="90">
        <f t="shared" si="5"/>
        <v>0</v>
      </c>
      <c r="S61" t="s">
        <v>650</v>
      </c>
      <c r="T61">
        <f>SUMIFS($I$37:$I$336,$D$37:$D$336,$S$61)</f>
        <v>160</v>
      </c>
      <c r="U61">
        <f>COUNTIFS($D$37:$D$336,$S$61)</f>
        <v>250</v>
      </c>
      <c r="V61">
        <f>T61/U61</f>
        <v>0.64</v>
      </c>
    </row>
    <row r="62" spans="3:31" x14ac:dyDescent="0.3">
      <c r="C62" s="117">
        <v>26</v>
      </c>
      <c r="D62" s="136" t="s">
        <v>649</v>
      </c>
      <c r="E62" s="136" t="s">
        <v>201</v>
      </c>
      <c r="F62" s="136">
        <v>69</v>
      </c>
      <c r="G62" s="136" t="s">
        <v>202</v>
      </c>
      <c r="H62" s="136">
        <v>0</v>
      </c>
      <c r="I62" s="136">
        <v>0</v>
      </c>
      <c r="K62" s="90" t="str">
        <f t="shared" si="0"/>
        <v>G69F</v>
      </c>
      <c r="L62" s="90">
        <f t="shared" si="1"/>
        <v>1</v>
      </c>
      <c r="M62" s="90">
        <f t="shared" si="2"/>
        <v>0</v>
      </c>
      <c r="N62" s="90">
        <f t="shared" si="3"/>
        <v>1</v>
      </c>
      <c r="O62" s="90">
        <f t="shared" si="4"/>
        <v>0</v>
      </c>
      <c r="P62" s="90">
        <f t="shared" si="5"/>
        <v>1</v>
      </c>
    </row>
    <row r="63" spans="3:31" x14ac:dyDescent="0.3">
      <c r="C63" s="117">
        <v>27</v>
      </c>
      <c r="D63" s="136" t="s">
        <v>649</v>
      </c>
      <c r="E63" s="136" t="s">
        <v>70</v>
      </c>
      <c r="F63" s="136">
        <v>66</v>
      </c>
      <c r="G63" s="136" t="s">
        <v>195</v>
      </c>
      <c r="H63" s="136">
        <v>0</v>
      </c>
      <c r="I63" s="136">
        <v>0</v>
      </c>
      <c r="K63" s="90" t="str">
        <f t="shared" si="0"/>
        <v>A66M</v>
      </c>
      <c r="L63" s="90">
        <f t="shared" si="1"/>
        <v>1</v>
      </c>
      <c r="M63" s="90">
        <f t="shared" si="2"/>
        <v>0</v>
      </c>
      <c r="N63" s="90">
        <f t="shared" si="3"/>
        <v>1</v>
      </c>
      <c r="O63" s="90">
        <f t="shared" si="4"/>
        <v>0</v>
      </c>
      <c r="P63" s="90">
        <f t="shared" si="5"/>
        <v>0</v>
      </c>
    </row>
    <row r="64" spans="3:31" x14ac:dyDescent="0.3">
      <c r="C64" s="117">
        <v>28</v>
      </c>
      <c r="D64" s="136" t="s">
        <v>649</v>
      </c>
      <c r="E64" s="136" t="s">
        <v>198</v>
      </c>
      <c r="F64" s="136">
        <v>72</v>
      </c>
      <c r="G64" s="136" t="s">
        <v>195</v>
      </c>
      <c r="H64" s="136">
        <v>0</v>
      </c>
      <c r="I64" s="136">
        <v>0</v>
      </c>
      <c r="K64" s="90" t="str">
        <f t="shared" si="0"/>
        <v>J72M</v>
      </c>
      <c r="L64" s="90">
        <f t="shared" si="1"/>
        <v>1</v>
      </c>
      <c r="M64" s="90">
        <f t="shared" si="2"/>
        <v>0</v>
      </c>
      <c r="N64" s="90">
        <f t="shared" si="3"/>
        <v>2</v>
      </c>
      <c r="O64" s="90">
        <f t="shared" si="4"/>
        <v>0</v>
      </c>
      <c r="P64" s="90">
        <f t="shared" si="5"/>
        <v>2</v>
      </c>
      <c r="S64" s="19" t="s">
        <v>773</v>
      </c>
      <c r="T64" s="19"/>
      <c r="U64" s="19"/>
      <c r="V64" s="19"/>
      <c r="W64" s="19"/>
      <c r="X64" s="19"/>
      <c r="Y64" s="19"/>
      <c r="Z64" s="19"/>
      <c r="AA64" s="19"/>
    </row>
    <row r="65" spans="3:16" x14ac:dyDescent="0.3">
      <c r="C65" s="117">
        <v>29</v>
      </c>
      <c r="D65" s="136" t="s">
        <v>649</v>
      </c>
      <c r="E65" s="136" t="s">
        <v>200</v>
      </c>
      <c r="F65" s="136">
        <v>79</v>
      </c>
      <c r="G65" s="136" t="s">
        <v>202</v>
      </c>
      <c r="H65" s="136">
        <v>2</v>
      </c>
      <c r="I65" s="136">
        <v>2</v>
      </c>
      <c r="K65" s="90" t="str">
        <f t="shared" si="0"/>
        <v>H79F</v>
      </c>
      <c r="L65" s="90">
        <f t="shared" si="1"/>
        <v>1</v>
      </c>
      <c r="M65" s="90">
        <f t="shared" si="2"/>
        <v>2</v>
      </c>
      <c r="N65" s="90">
        <f t="shared" si="3"/>
        <v>0</v>
      </c>
      <c r="O65" s="90">
        <f t="shared" si="4"/>
        <v>2</v>
      </c>
      <c r="P65" s="90">
        <f t="shared" si="5"/>
        <v>0</v>
      </c>
    </row>
    <row r="66" spans="3:16" x14ac:dyDescent="0.3">
      <c r="C66" s="117">
        <v>30</v>
      </c>
      <c r="D66" s="136" t="s">
        <v>649</v>
      </c>
      <c r="E66" s="136" t="s">
        <v>202</v>
      </c>
      <c r="F66" s="136">
        <v>69</v>
      </c>
      <c r="G66" s="136" t="s">
        <v>202</v>
      </c>
      <c r="H66" s="136">
        <v>0</v>
      </c>
      <c r="I66" s="136">
        <v>0</v>
      </c>
      <c r="K66" s="90" t="str">
        <f t="shared" si="0"/>
        <v>F69F</v>
      </c>
      <c r="L66" s="90">
        <f t="shared" si="1"/>
        <v>1</v>
      </c>
      <c r="M66" s="90">
        <f t="shared" si="2"/>
        <v>0</v>
      </c>
      <c r="N66" s="90">
        <f t="shared" si="3"/>
        <v>2</v>
      </c>
      <c r="O66" s="90">
        <f t="shared" si="4"/>
        <v>0</v>
      </c>
      <c r="P66" s="90">
        <f t="shared" si="5"/>
        <v>3</v>
      </c>
    </row>
    <row r="67" spans="3:16" x14ac:dyDescent="0.3">
      <c r="C67" s="117">
        <v>31</v>
      </c>
      <c r="D67" s="136" t="s">
        <v>649</v>
      </c>
      <c r="E67" s="136" t="s">
        <v>68</v>
      </c>
      <c r="F67" s="136">
        <v>75</v>
      </c>
      <c r="G67" s="136" t="s">
        <v>202</v>
      </c>
      <c r="H67" s="136">
        <v>0</v>
      </c>
      <c r="I67" s="136">
        <v>0</v>
      </c>
      <c r="K67" s="90" t="str">
        <f t="shared" si="0"/>
        <v>C75F</v>
      </c>
      <c r="L67" s="90">
        <f t="shared" si="1"/>
        <v>1</v>
      </c>
      <c r="M67" s="90">
        <f t="shared" si="2"/>
        <v>0</v>
      </c>
      <c r="N67" s="90">
        <f t="shared" si="3"/>
        <v>0</v>
      </c>
      <c r="O67" s="90">
        <f t="shared" si="4"/>
        <v>0</v>
      </c>
      <c r="P67" s="90">
        <f t="shared" si="5"/>
        <v>0</v>
      </c>
    </row>
    <row r="68" spans="3:16" x14ac:dyDescent="0.3">
      <c r="C68" s="117">
        <v>32</v>
      </c>
      <c r="D68" s="136" t="s">
        <v>649</v>
      </c>
      <c r="E68" s="136" t="s">
        <v>68</v>
      </c>
      <c r="F68" s="136">
        <v>77</v>
      </c>
      <c r="G68" s="136" t="s">
        <v>195</v>
      </c>
      <c r="H68" s="136">
        <v>0</v>
      </c>
      <c r="I68" s="136">
        <v>0</v>
      </c>
      <c r="K68" s="90" t="str">
        <f t="shared" si="0"/>
        <v>C77M</v>
      </c>
      <c r="L68" s="90">
        <f t="shared" si="1"/>
        <v>1</v>
      </c>
      <c r="M68" s="90">
        <f t="shared" si="2"/>
        <v>0</v>
      </c>
      <c r="N68" s="90">
        <f t="shared" si="3"/>
        <v>1</v>
      </c>
      <c r="O68" s="90">
        <f t="shared" si="4"/>
        <v>0</v>
      </c>
      <c r="P68" s="90">
        <f t="shared" si="5"/>
        <v>0</v>
      </c>
    </row>
    <row r="69" spans="3:16" x14ac:dyDescent="0.3">
      <c r="C69" s="117">
        <v>33</v>
      </c>
      <c r="D69" s="136" t="s">
        <v>649</v>
      </c>
      <c r="E69" s="136" t="s">
        <v>68</v>
      </c>
      <c r="F69" s="136">
        <v>66</v>
      </c>
      <c r="G69" s="136" t="s">
        <v>195</v>
      </c>
      <c r="H69" s="136">
        <v>0</v>
      </c>
      <c r="I69" s="136">
        <v>0</v>
      </c>
      <c r="K69" s="90" t="str">
        <f t="shared" si="0"/>
        <v>C66M</v>
      </c>
      <c r="L69" s="90">
        <f t="shared" ref="L69:L86" si="6">COUNTIFS($D$37:$D$336,"No",$K$37:$K$336,K69)</f>
        <v>1</v>
      </c>
      <c r="M69" s="90">
        <f t="shared" ref="M69:M86" si="7">SUMIFS($H$37:$H$336,$D$37:$D$336,$M$36,$K$37:$K$336,$K69)</f>
        <v>0</v>
      </c>
      <c r="N69" s="90">
        <f t="shared" ref="N69:N86" si="8">SUMIFS($H$37:$H$336,$D$37:$D$336,$N$36,$K$37:$K$336,$K69)</f>
        <v>1</v>
      </c>
      <c r="O69" s="90">
        <f t="shared" ref="O69:O86" si="9">SUMIFS($I$37:$I$336,$D$37:$D$336,$O$36,$K$37:$K$336,$K69)</f>
        <v>0</v>
      </c>
      <c r="P69" s="90">
        <f t="shared" ref="P69:P86" si="10">SUMIFS($I$37:$I$336,$D$37:$D$336,$P$36,$K$37:$K$336,$K69)</f>
        <v>1</v>
      </c>
    </row>
    <row r="70" spans="3:16" x14ac:dyDescent="0.3">
      <c r="C70" s="117">
        <v>34</v>
      </c>
      <c r="D70" s="136" t="s">
        <v>649</v>
      </c>
      <c r="E70" s="136" t="s">
        <v>201</v>
      </c>
      <c r="F70" s="136">
        <v>76</v>
      </c>
      <c r="G70" s="136" t="s">
        <v>202</v>
      </c>
      <c r="H70" s="136">
        <v>2</v>
      </c>
      <c r="I70" s="136">
        <v>4</v>
      </c>
      <c r="K70" s="90" t="str">
        <f t="shared" si="0"/>
        <v>G76F</v>
      </c>
      <c r="L70" s="90">
        <f t="shared" si="6"/>
        <v>1</v>
      </c>
      <c r="M70" s="90">
        <f t="shared" si="7"/>
        <v>2</v>
      </c>
      <c r="N70" s="90">
        <f t="shared" si="8"/>
        <v>0</v>
      </c>
      <c r="O70" s="90">
        <f t="shared" si="9"/>
        <v>4</v>
      </c>
      <c r="P70" s="90">
        <f t="shared" si="10"/>
        <v>0</v>
      </c>
    </row>
    <row r="71" spans="3:16" x14ac:dyDescent="0.3">
      <c r="C71" s="117">
        <v>35</v>
      </c>
      <c r="D71" s="136" t="s">
        <v>649</v>
      </c>
      <c r="E71" s="136" t="s">
        <v>199</v>
      </c>
      <c r="F71" s="136">
        <v>72</v>
      </c>
      <c r="G71" s="136" t="s">
        <v>202</v>
      </c>
      <c r="H71" s="136">
        <v>2</v>
      </c>
      <c r="I71" s="136">
        <v>2</v>
      </c>
      <c r="K71" s="90" t="str">
        <f t="shared" si="0"/>
        <v>I72F</v>
      </c>
      <c r="L71" s="90">
        <f t="shared" si="6"/>
        <v>1</v>
      </c>
      <c r="M71" s="90">
        <f t="shared" si="7"/>
        <v>2</v>
      </c>
      <c r="N71" s="90">
        <f t="shared" si="8"/>
        <v>1</v>
      </c>
      <c r="O71" s="90">
        <f t="shared" si="9"/>
        <v>2</v>
      </c>
      <c r="P71" s="90">
        <f t="shared" si="10"/>
        <v>0</v>
      </c>
    </row>
    <row r="72" spans="3:16" x14ac:dyDescent="0.3">
      <c r="C72" s="117">
        <v>36</v>
      </c>
      <c r="D72" s="136" t="s">
        <v>649</v>
      </c>
      <c r="E72" s="136" t="s">
        <v>204</v>
      </c>
      <c r="F72" s="136">
        <v>74</v>
      </c>
      <c r="G72" s="136" t="s">
        <v>202</v>
      </c>
      <c r="H72" s="136">
        <v>0</v>
      </c>
      <c r="I72" s="136">
        <v>0</v>
      </c>
      <c r="K72" s="90" t="str">
        <f t="shared" si="0"/>
        <v>D74F</v>
      </c>
      <c r="L72" s="90">
        <f t="shared" si="6"/>
        <v>1</v>
      </c>
      <c r="M72" s="90">
        <f t="shared" si="7"/>
        <v>0</v>
      </c>
      <c r="N72" s="90">
        <f t="shared" si="8"/>
        <v>1</v>
      </c>
      <c r="O72" s="90">
        <f t="shared" si="9"/>
        <v>0</v>
      </c>
      <c r="P72" s="90">
        <f t="shared" si="10"/>
        <v>2</v>
      </c>
    </row>
    <row r="73" spans="3:16" x14ac:dyDescent="0.3">
      <c r="C73" s="117">
        <v>37</v>
      </c>
      <c r="D73" s="136" t="s">
        <v>649</v>
      </c>
      <c r="E73" s="136" t="s">
        <v>201</v>
      </c>
      <c r="F73" s="136">
        <v>79</v>
      </c>
      <c r="G73" s="136" t="s">
        <v>202</v>
      </c>
      <c r="H73" s="136">
        <v>1</v>
      </c>
      <c r="I73" s="136">
        <v>1</v>
      </c>
      <c r="K73" s="90" t="str">
        <f t="shared" si="0"/>
        <v>G79F</v>
      </c>
      <c r="L73" s="90">
        <f t="shared" si="6"/>
        <v>1</v>
      </c>
      <c r="M73" s="90">
        <f t="shared" si="7"/>
        <v>1</v>
      </c>
      <c r="N73" s="90">
        <f t="shared" si="8"/>
        <v>0</v>
      </c>
      <c r="O73" s="90">
        <f t="shared" si="9"/>
        <v>1</v>
      </c>
      <c r="P73" s="90">
        <f t="shared" si="10"/>
        <v>0</v>
      </c>
    </row>
    <row r="74" spans="3:16" x14ac:dyDescent="0.3">
      <c r="C74" s="117">
        <v>38</v>
      </c>
      <c r="D74" s="136" t="s">
        <v>649</v>
      </c>
      <c r="E74" s="136" t="s">
        <v>200</v>
      </c>
      <c r="F74" s="136">
        <v>65</v>
      </c>
      <c r="G74" s="136" t="s">
        <v>195</v>
      </c>
      <c r="H74" s="136">
        <v>0</v>
      </c>
      <c r="I74" s="136">
        <v>0</v>
      </c>
      <c r="K74" s="90" t="str">
        <f t="shared" si="0"/>
        <v>H65M</v>
      </c>
      <c r="L74" s="90">
        <f t="shared" si="6"/>
        <v>1</v>
      </c>
      <c r="M74" s="90">
        <f t="shared" si="7"/>
        <v>0</v>
      </c>
      <c r="N74" s="90">
        <f t="shared" si="8"/>
        <v>0</v>
      </c>
      <c r="O74" s="90">
        <f t="shared" si="9"/>
        <v>0</v>
      </c>
      <c r="P74" s="90">
        <f t="shared" si="10"/>
        <v>0</v>
      </c>
    </row>
    <row r="75" spans="3:16" x14ac:dyDescent="0.3">
      <c r="C75" s="117">
        <v>39</v>
      </c>
      <c r="D75" s="136" t="s">
        <v>649</v>
      </c>
      <c r="E75" s="136" t="s">
        <v>200</v>
      </c>
      <c r="F75" s="136">
        <v>75</v>
      </c>
      <c r="G75" s="136" t="s">
        <v>195</v>
      </c>
      <c r="H75" s="136">
        <v>0</v>
      </c>
      <c r="I75" s="136">
        <v>0</v>
      </c>
      <c r="K75" s="90" t="str">
        <f t="shared" si="0"/>
        <v>H75M</v>
      </c>
      <c r="L75" s="90">
        <f t="shared" si="6"/>
        <v>1</v>
      </c>
      <c r="M75" s="90">
        <f t="shared" si="7"/>
        <v>0</v>
      </c>
      <c r="N75" s="90">
        <f t="shared" si="8"/>
        <v>1</v>
      </c>
      <c r="O75" s="90">
        <f t="shared" si="9"/>
        <v>0</v>
      </c>
      <c r="P75" s="90">
        <f t="shared" si="10"/>
        <v>1</v>
      </c>
    </row>
    <row r="76" spans="3:16" x14ac:dyDescent="0.3">
      <c r="C76" s="117">
        <v>40</v>
      </c>
      <c r="D76" s="136" t="s">
        <v>649</v>
      </c>
      <c r="E76" s="136" t="s">
        <v>201</v>
      </c>
      <c r="F76" s="136">
        <v>73</v>
      </c>
      <c r="G76" s="136" t="s">
        <v>202</v>
      </c>
      <c r="H76" s="136">
        <v>2</v>
      </c>
      <c r="I76" s="136">
        <v>3</v>
      </c>
      <c r="K76" s="90" t="str">
        <f t="shared" si="0"/>
        <v>G73F</v>
      </c>
      <c r="L76" s="90">
        <f t="shared" si="6"/>
        <v>1</v>
      </c>
      <c r="M76" s="90">
        <f t="shared" si="7"/>
        <v>2</v>
      </c>
      <c r="N76" s="90">
        <f t="shared" si="8"/>
        <v>0</v>
      </c>
      <c r="O76" s="90">
        <f t="shared" si="9"/>
        <v>3</v>
      </c>
      <c r="P76" s="90">
        <f t="shared" si="10"/>
        <v>0</v>
      </c>
    </row>
    <row r="77" spans="3:16" x14ac:dyDescent="0.3">
      <c r="C77" s="117">
        <v>41</v>
      </c>
      <c r="D77" s="136" t="s">
        <v>649</v>
      </c>
      <c r="E77" s="136" t="s">
        <v>199</v>
      </c>
      <c r="F77" s="136">
        <v>79</v>
      </c>
      <c r="G77" s="136" t="s">
        <v>202</v>
      </c>
      <c r="H77" s="136">
        <v>0</v>
      </c>
      <c r="I77" s="136">
        <v>0</v>
      </c>
      <c r="K77" s="90" t="str">
        <f t="shared" si="0"/>
        <v>I79F</v>
      </c>
      <c r="L77" s="90">
        <f t="shared" si="6"/>
        <v>1</v>
      </c>
      <c r="M77" s="90">
        <f t="shared" si="7"/>
        <v>0</v>
      </c>
      <c r="N77" s="90">
        <f t="shared" si="8"/>
        <v>1</v>
      </c>
      <c r="O77" s="90">
        <f t="shared" si="9"/>
        <v>0</v>
      </c>
      <c r="P77" s="90">
        <f t="shared" si="10"/>
        <v>2</v>
      </c>
    </row>
    <row r="78" spans="3:16" x14ac:dyDescent="0.3">
      <c r="C78" s="117">
        <v>42</v>
      </c>
      <c r="D78" s="136" t="s">
        <v>649</v>
      </c>
      <c r="E78" s="136" t="s">
        <v>200</v>
      </c>
      <c r="F78" s="136">
        <v>74</v>
      </c>
      <c r="G78" s="136" t="s">
        <v>195</v>
      </c>
      <c r="H78" s="136">
        <v>0</v>
      </c>
      <c r="I78" s="136">
        <v>0</v>
      </c>
      <c r="K78" s="90" t="str">
        <f t="shared" si="0"/>
        <v>H74M</v>
      </c>
      <c r="L78" s="90">
        <f t="shared" si="6"/>
        <v>1</v>
      </c>
      <c r="M78" s="90">
        <f t="shared" si="7"/>
        <v>0</v>
      </c>
      <c r="N78" s="90">
        <f t="shared" si="8"/>
        <v>0</v>
      </c>
      <c r="O78" s="90">
        <f t="shared" si="9"/>
        <v>0</v>
      </c>
      <c r="P78" s="90">
        <f t="shared" si="10"/>
        <v>0</v>
      </c>
    </row>
    <row r="79" spans="3:16" x14ac:dyDescent="0.3">
      <c r="C79" s="117">
        <v>43</v>
      </c>
      <c r="D79" s="136" t="s">
        <v>649</v>
      </c>
      <c r="E79" s="136" t="s">
        <v>204</v>
      </c>
      <c r="F79" s="136">
        <v>75</v>
      </c>
      <c r="G79" s="136" t="s">
        <v>195</v>
      </c>
      <c r="H79" s="136">
        <v>1</v>
      </c>
      <c r="I79" s="136">
        <v>1</v>
      </c>
      <c r="K79" s="90" t="str">
        <f t="shared" si="0"/>
        <v>D75M</v>
      </c>
      <c r="L79" s="90">
        <f t="shared" si="6"/>
        <v>1</v>
      </c>
      <c r="M79" s="90">
        <f t="shared" si="7"/>
        <v>1</v>
      </c>
      <c r="N79" s="90">
        <f t="shared" si="8"/>
        <v>2</v>
      </c>
      <c r="O79" s="90">
        <f t="shared" si="9"/>
        <v>1</v>
      </c>
      <c r="P79" s="90">
        <f t="shared" si="10"/>
        <v>4</v>
      </c>
    </row>
    <row r="80" spans="3:16" x14ac:dyDescent="0.3">
      <c r="C80" s="117">
        <v>44</v>
      </c>
      <c r="D80" s="136" t="s">
        <v>649</v>
      </c>
      <c r="E80" s="136" t="s">
        <v>198</v>
      </c>
      <c r="F80" s="136">
        <v>77</v>
      </c>
      <c r="G80" s="136" t="s">
        <v>202</v>
      </c>
      <c r="H80" s="136">
        <v>1</v>
      </c>
      <c r="I80" s="136">
        <v>2</v>
      </c>
      <c r="K80" s="90" t="str">
        <f t="shared" si="0"/>
        <v>J77F</v>
      </c>
      <c r="L80" s="90">
        <f t="shared" si="6"/>
        <v>1</v>
      </c>
      <c r="M80" s="90">
        <f t="shared" si="7"/>
        <v>1</v>
      </c>
      <c r="N80" s="90">
        <f t="shared" si="8"/>
        <v>1</v>
      </c>
      <c r="O80" s="90">
        <f t="shared" si="9"/>
        <v>2</v>
      </c>
      <c r="P80" s="90">
        <f t="shared" si="10"/>
        <v>1</v>
      </c>
    </row>
    <row r="81" spans="3:16" x14ac:dyDescent="0.3">
      <c r="C81" s="117">
        <v>45</v>
      </c>
      <c r="D81" s="136" t="s">
        <v>649</v>
      </c>
      <c r="E81" s="136" t="s">
        <v>203</v>
      </c>
      <c r="F81" s="136">
        <v>79</v>
      </c>
      <c r="G81" s="136" t="s">
        <v>195</v>
      </c>
      <c r="H81" s="136">
        <v>1</v>
      </c>
      <c r="I81" s="136">
        <v>1</v>
      </c>
      <c r="K81" s="90" t="str">
        <f t="shared" si="0"/>
        <v>E79M</v>
      </c>
      <c r="L81" s="90">
        <f t="shared" si="6"/>
        <v>1</v>
      </c>
      <c r="M81" s="90">
        <f t="shared" si="7"/>
        <v>1</v>
      </c>
      <c r="N81" s="90">
        <f t="shared" si="8"/>
        <v>0</v>
      </c>
      <c r="O81" s="90">
        <f t="shared" si="9"/>
        <v>1</v>
      </c>
      <c r="P81" s="90">
        <f t="shared" si="10"/>
        <v>0</v>
      </c>
    </row>
    <row r="82" spans="3:16" x14ac:dyDescent="0.3">
      <c r="C82" s="117">
        <v>46</v>
      </c>
      <c r="D82" s="136" t="s">
        <v>649</v>
      </c>
      <c r="E82" s="136" t="s">
        <v>202</v>
      </c>
      <c r="F82" s="136">
        <v>66</v>
      </c>
      <c r="G82" s="136" t="s">
        <v>195</v>
      </c>
      <c r="H82" s="136">
        <v>0</v>
      </c>
      <c r="I82" s="136">
        <v>0</v>
      </c>
      <c r="K82" s="90" t="str">
        <f t="shared" si="0"/>
        <v>F66M</v>
      </c>
      <c r="L82" s="90">
        <f t="shared" si="6"/>
        <v>1</v>
      </c>
      <c r="M82" s="90">
        <f t="shared" si="7"/>
        <v>0</v>
      </c>
      <c r="N82" s="90">
        <f t="shared" si="8"/>
        <v>2</v>
      </c>
      <c r="O82" s="90">
        <f t="shared" si="9"/>
        <v>0</v>
      </c>
      <c r="P82" s="90">
        <f t="shared" si="10"/>
        <v>2</v>
      </c>
    </row>
    <row r="83" spans="3:16" x14ac:dyDescent="0.3">
      <c r="C83" s="117">
        <v>47</v>
      </c>
      <c r="D83" s="136" t="s">
        <v>649</v>
      </c>
      <c r="E83" s="136" t="s">
        <v>198</v>
      </c>
      <c r="F83" s="136">
        <v>68</v>
      </c>
      <c r="G83" s="136" t="s">
        <v>195</v>
      </c>
      <c r="H83" s="136">
        <v>0</v>
      </c>
      <c r="I83" s="136">
        <v>0</v>
      </c>
      <c r="K83" s="90" t="str">
        <f t="shared" si="0"/>
        <v>J68M</v>
      </c>
      <c r="L83" s="90">
        <f t="shared" si="6"/>
        <v>1</v>
      </c>
      <c r="M83" s="90">
        <f t="shared" si="7"/>
        <v>0</v>
      </c>
      <c r="N83" s="90">
        <f t="shared" si="8"/>
        <v>0</v>
      </c>
      <c r="O83" s="90">
        <f t="shared" si="9"/>
        <v>0</v>
      </c>
      <c r="P83" s="90">
        <f t="shared" si="10"/>
        <v>0</v>
      </c>
    </row>
    <row r="84" spans="3:16" x14ac:dyDescent="0.3">
      <c r="C84" s="117">
        <v>48</v>
      </c>
      <c r="D84" s="136" t="s">
        <v>649</v>
      </c>
      <c r="E84" s="136" t="s">
        <v>68</v>
      </c>
      <c r="F84" s="136">
        <v>79</v>
      </c>
      <c r="G84" s="136" t="s">
        <v>195</v>
      </c>
      <c r="H84" s="136">
        <v>0</v>
      </c>
      <c r="I84" s="136">
        <v>0</v>
      </c>
      <c r="K84" s="90" t="str">
        <f t="shared" si="0"/>
        <v>C79M</v>
      </c>
      <c r="L84" s="90">
        <f t="shared" si="6"/>
        <v>1</v>
      </c>
      <c r="M84" s="90">
        <f t="shared" si="7"/>
        <v>0</v>
      </c>
      <c r="N84" s="90">
        <f t="shared" si="8"/>
        <v>1</v>
      </c>
      <c r="O84" s="90">
        <f t="shared" si="9"/>
        <v>0</v>
      </c>
      <c r="P84" s="90">
        <f t="shared" si="10"/>
        <v>1</v>
      </c>
    </row>
    <row r="85" spans="3:16" x14ac:dyDescent="0.3">
      <c r="C85" s="117">
        <v>49</v>
      </c>
      <c r="D85" s="136" t="s">
        <v>649</v>
      </c>
      <c r="E85" s="136" t="s">
        <v>202</v>
      </c>
      <c r="F85" s="136">
        <v>73</v>
      </c>
      <c r="G85" s="136" t="s">
        <v>195</v>
      </c>
      <c r="H85" s="136">
        <v>2</v>
      </c>
      <c r="I85" s="136">
        <v>2</v>
      </c>
      <c r="K85" s="90" t="str">
        <f t="shared" si="0"/>
        <v>F73M</v>
      </c>
      <c r="L85" s="90">
        <f t="shared" si="6"/>
        <v>1</v>
      </c>
      <c r="M85" s="90">
        <f t="shared" si="7"/>
        <v>2</v>
      </c>
      <c r="N85" s="90">
        <f t="shared" si="8"/>
        <v>0</v>
      </c>
      <c r="O85" s="90">
        <f t="shared" si="9"/>
        <v>2</v>
      </c>
      <c r="P85" s="90">
        <f t="shared" si="10"/>
        <v>0</v>
      </c>
    </row>
    <row r="86" spans="3:16" x14ac:dyDescent="0.3">
      <c r="C86" s="117">
        <v>50</v>
      </c>
      <c r="D86" s="136" t="s">
        <v>649</v>
      </c>
      <c r="E86" s="136" t="s">
        <v>203</v>
      </c>
      <c r="F86" s="136">
        <v>77</v>
      </c>
      <c r="G86" s="136" t="s">
        <v>195</v>
      </c>
      <c r="H86" s="136">
        <v>0</v>
      </c>
      <c r="I86" s="136">
        <v>0</v>
      </c>
      <c r="K86" s="90" t="str">
        <f t="shared" si="0"/>
        <v>E77M</v>
      </c>
      <c r="L86" s="90">
        <f t="shared" si="6"/>
        <v>1</v>
      </c>
      <c r="M86" s="90">
        <f t="shared" si="7"/>
        <v>0</v>
      </c>
      <c r="N86" s="90">
        <f t="shared" si="8"/>
        <v>2</v>
      </c>
      <c r="O86" s="90">
        <f t="shared" si="9"/>
        <v>0</v>
      </c>
      <c r="P86" s="90">
        <f t="shared" si="10"/>
        <v>2</v>
      </c>
    </row>
    <row r="87" spans="3:16" x14ac:dyDescent="0.3">
      <c r="C87" s="117">
        <v>51</v>
      </c>
      <c r="D87" s="136" t="s">
        <v>650</v>
      </c>
      <c r="E87" s="136" t="s">
        <v>70</v>
      </c>
      <c r="F87" s="136">
        <v>79</v>
      </c>
      <c r="G87" s="136" t="s">
        <v>202</v>
      </c>
      <c r="H87" s="136">
        <v>1</v>
      </c>
      <c r="I87" s="136">
        <v>1</v>
      </c>
      <c r="K87" s="90" t="str">
        <f t="shared" si="0"/>
        <v>A79F</v>
      </c>
      <c r="L87" s="90"/>
      <c r="M87" s="90"/>
      <c r="N87" s="90"/>
      <c r="O87" s="90"/>
      <c r="P87" s="90"/>
    </row>
    <row r="88" spans="3:16" x14ac:dyDescent="0.3">
      <c r="C88" s="117">
        <v>52</v>
      </c>
      <c r="D88" s="136" t="s">
        <v>650</v>
      </c>
      <c r="E88" s="136" t="s">
        <v>68</v>
      </c>
      <c r="F88" s="136">
        <v>70</v>
      </c>
      <c r="G88" s="136" t="s">
        <v>202</v>
      </c>
      <c r="H88" s="136">
        <v>0</v>
      </c>
      <c r="I88" s="136">
        <v>0</v>
      </c>
      <c r="K88" s="90" t="str">
        <f t="shared" si="0"/>
        <v>C70F</v>
      </c>
      <c r="L88" s="90"/>
      <c r="M88" s="90"/>
      <c r="N88" s="90"/>
      <c r="O88" s="90"/>
      <c r="P88" s="90"/>
    </row>
    <row r="89" spans="3:16" x14ac:dyDescent="0.3">
      <c r="C89" s="117">
        <v>53</v>
      </c>
      <c r="D89" s="136" t="s">
        <v>650</v>
      </c>
      <c r="E89" s="136" t="s">
        <v>198</v>
      </c>
      <c r="F89" s="136">
        <v>70</v>
      </c>
      <c r="G89" s="136" t="s">
        <v>195</v>
      </c>
      <c r="H89" s="136">
        <v>1</v>
      </c>
      <c r="I89" s="136">
        <v>1</v>
      </c>
      <c r="K89" s="90" t="str">
        <f t="shared" si="0"/>
        <v>J70M</v>
      </c>
      <c r="L89" s="90"/>
      <c r="M89" s="90"/>
      <c r="N89" s="90"/>
      <c r="O89" s="90"/>
      <c r="P89" s="90"/>
    </row>
    <row r="90" spans="3:16" x14ac:dyDescent="0.3">
      <c r="C90" s="117">
        <v>54</v>
      </c>
      <c r="D90" s="136" t="s">
        <v>650</v>
      </c>
      <c r="E90" s="136" t="s">
        <v>200</v>
      </c>
      <c r="F90" s="136">
        <v>79</v>
      </c>
      <c r="G90" s="136" t="s">
        <v>202</v>
      </c>
      <c r="H90" s="136">
        <v>0</v>
      </c>
      <c r="I90" s="136">
        <v>0</v>
      </c>
      <c r="K90" s="90" t="str">
        <f t="shared" si="0"/>
        <v>H79F</v>
      </c>
      <c r="L90" s="90"/>
      <c r="M90" s="90"/>
      <c r="N90" s="90"/>
      <c r="O90" s="90"/>
      <c r="P90" s="90"/>
    </row>
    <row r="91" spans="3:16" x14ac:dyDescent="0.3">
      <c r="C91" s="117">
        <v>55</v>
      </c>
      <c r="D91" s="136" t="s">
        <v>650</v>
      </c>
      <c r="E91" s="136" t="s">
        <v>199</v>
      </c>
      <c r="F91" s="136">
        <v>77</v>
      </c>
      <c r="G91" s="136" t="s">
        <v>202</v>
      </c>
      <c r="H91" s="136">
        <v>0</v>
      </c>
      <c r="I91" s="136">
        <v>2</v>
      </c>
      <c r="K91" s="90" t="str">
        <f t="shared" si="0"/>
        <v>I77F</v>
      </c>
      <c r="L91" s="90"/>
      <c r="M91" s="90"/>
      <c r="N91" s="90"/>
      <c r="O91" s="90"/>
      <c r="P91" s="90"/>
    </row>
    <row r="92" spans="3:16" x14ac:dyDescent="0.3">
      <c r="C92" s="117">
        <v>56</v>
      </c>
      <c r="D92" s="136" t="s">
        <v>650</v>
      </c>
      <c r="E92" s="136" t="s">
        <v>201</v>
      </c>
      <c r="F92" s="136">
        <v>68</v>
      </c>
      <c r="G92" s="136" t="s">
        <v>202</v>
      </c>
      <c r="H92" s="136">
        <v>1</v>
      </c>
      <c r="I92" s="136">
        <v>1</v>
      </c>
      <c r="K92" s="90" t="str">
        <f t="shared" si="0"/>
        <v>G68F</v>
      </c>
      <c r="L92" s="90"/>
      <c r="M92" s="90"/>
      <c r="N92" s="90"/>
      <c r="O92" s="90"/>
      <c r="P92" s="90"/>
    </row>
    <row r="93" spans="3:16" x14ac:dyDescent="0.3">
      <c r="C93" s="117">
        <v>57</v>
      </c>
      <c r="D93" s="136" t="s">
        <v>650</v>
      </c>
      <c r="E93" s="136" t="s">
        <v>201</v>
      </c>
      <c r="F93" s="136">
        <v>66</v>
      </c>
      <c r="G93" s="136" t="s">
        <v>195</v>
      </c>
      <c r="H93" s="136">
        <v>0</v>
      </c>
      <c r="I93" s="136">
        <v>1</v>
      </c>
      <c r="K93" s="90" t="str">
        <f t="shared" si="0"/>
        <v>G66M</v>
      </c>
      <c r="L93" s="90"/>
      <c r="M93" s="90"/>
      <c r="N93" s="90"/>
      <c r="O93" s="90"/>
      <c r="P93" s="90"/>
    </row>
    <row r="94" spans="3:16" x14ac:dyDescent="0.3">
      <c r="C94" s="117">
        <v>58</v>
      </c>
      <c r="D94" s="136" t="s">
        <v>650</v>
      </c>
      <c r="E94" s="136" t="s">
        <v>204</v>
      </c>
      <c r="F94" s="136">
        <v>65</v>
      </c>
      <c r="G94" s="136" t="s">
        <v>202</v>
      </c>
      <c r="H94" s="136">
        <v>1</v>
      </c>
      <c r="I94" s="136">
        <v>1</v>
      </c>
      <c r="K94" s="90" t="str">
        <f t="shared" si="0"/>
        <v>D65F</v>
      </c>
      <c r="L94" s="90"/>
      <c r="M94" s="90"/>
      <c r="N94" s="90"/>
      <c r="O94" s="90"/>
      <c r="P94" s="90"/>
    </row>
    <row r="95" spans="3:16" x14ac:dyDescent="0.3">
      <c r="C95" s="117">
        <v>59</v>
      </c>
      <c r="D95" s="136" t="s">
        <v>650</v>
      </c>
      <c r="E95" s="136" t="s">
        <v>203</v>
      </c>
      <c r="F95" s="136">
        <v>67</v>
      </c>
      <c r="G95" s="136" t="s">
        <v>195</v>
      </c>
      <c r="H95" s="136">
        <v>1</v>
      </c>
      <c r="I95" s="136">
        <v>1</v>
      </c>
      <c r="K95" s="90" t="str">
        <f t="shared" si="0"/>
        <v>E67M</v>
      </c>
      <c r="L95" s="90"/>
      <c r="M95" s="90"/>
      <c r="N95" s="90"/>
      <c r="O95" s="90"/>
      <c r="P95" s="90"/>
    </row>
    <row r="96" spans="3:16" x14ac:dyDescent="0.3">
      <c r="C96" s="117">
        <v>60</v>
      </c>
      <c r="D96" s="136" t="s">
        <v>650</v>
      </c>
      <c r="E96" s="136" t="s">
        <v>68</v>
      </c>
      <c r="F96" s="136">
        <v>77</v>
      </c>
      <c r="G96" s="136" t="s">
        <v>202</v>
      </c>
      <c r="H96" s="136">
        <v>0</v>
      </c>
      <c r="I96" s="136">
        <v>0</v>
      </c>
      <c r="K96" s="90" t="str">
        <f t="shared" si="0"/>
        <v>C77F</v>
      </c>
      <c r="L96" s="90"/>
      <c r="M96" s="90"/>
      <c r="N96" s="90"/>
      <c r="O96" s="90"/>
      <c r="P96" s="90"/>
    </row>
    <row r="97" spans="3:16" x14ac:dyDescent="0.3">
      <c r="C97" s="117">
        <v>61</v>
      </c>
      <c r="D97" s="136" t="s">
        <v>650</v>
      </c>
      <c r="E97" s="136" t="s">
        <v>203</v>
      </c>
      <c r="F97" s="136">
        <v>71</v>
      </c>
      <c r="G97" s="136" t="s">
        <v>195</v>
      </c>
      <c r="H97" s="136">
        <v>0</v>
      </c>
      <c r="I97" s="136">
        <v>0</v>
      </c>
      <c r="K97" s="90" t="str">
        <f t="shared" si="0"/>
        <v>E71M</v>
      </c>
      <c r="L97" s="90"/>
      <c r="M97" s="90"/>
      <c r="N97" s="90"/>
      <c r="O97" s="90"/>
      <c r="P97" s="90"/>
    </row>
    <row r="98" spans="3:16" x14ac:dyDescent="0.3">
      <c r="C98" s="117">
        <v>62</v>
      </c>
      <c r="D98" s="136" t="s">
        <v>650</v>
      </c>
      <c r="E98" s="136" t="s">
        <v>203</v>
      </c>
      <c r="F98" s="136">
        <v>73</v>
      </c>
      <c r="G98" s="136" t="s">
        <v>202</v>
      </c>
      <c r="H98" s="136">
        <v>0</v>
      </c>
      <c r="I98" s="136">
        <v>0</v>
      </c>
      <c r="K98" s="90" t="str">
        <f t="shared" si="0"/>
        <v>E73F</v>
      </c>
      <c r="L98" s="90"/>
      <c r="M98" s="90"/>
      <c r="N98" s="90"/>
      <c r="O98" s="90"/>
      <c r="P98" s="90"/>
    </row>
    <row r="99" spans="3:16" x14ac:dyDescent="0.3">
      <c r="C99" s="117">
        <v>63</v>
      </c>
      <c r="D99" s="136" t="s">
        <v>650</v>
      </c>
      <c r="E99" s="136" t="s">
        <v>204</v>
      </c>
      <c r="F99" s="136">
        <v>78</v>
      </c>
      <c r="G99" s="136" t="s">
        <v>195</v>
      </c>
      <c r="H99" s="136">
        <v>0</v>
      </c>
      <c r="I99" s="136">
        <v>0</v>
      </c>
      <c r="K99" s="90" t="str">
        <f t="shared" si="0"/>
        <v>D78M</v>
      </c>
      <c r="L99" s="90"/>
      <c r="M99" s="90"/>
      <c r="N99" s="90"/>
      <c r="O99" s="90"/>
      <c r="P99" s="90"/>
    </row>
    <row r="100" spans="3:16" x14ac:dyDescent="0.3">
      <c r="C100" s="117">
        <v>64</v>
      </c>
      <c r="D100" s="136" t="s">
        <v>650</v>
      </c>
      <c r="E100" s="136" t="s">
        <v>204</v>
      </c>
      <c r="F100" s="136">
        <v>79</v>
      </c>
      <c r="G100" s="136" t="s">
        <v>202</v>
      </c>
      <c r="H100" s="136">
        <v>0</v>
      </c>
      <c r="I100" s="136">
        <v>1</v>
      </c>
      <c r="K100" s="90" t="str">
        <f t="shared" si="0"/>
        <v>D79F</v>
      </c>
      <c r="L100" s="90"/>
      <c r="M100" s="90"/>
      <c r="N100" s="90"/>
      <c r="O100" s="90"/>
      <c r="P100" s="90"/>
    </row>
    <row r="101" spans="3:16" x14ac:dyDescent="0.3">
      <c r="C101" s="117">
        <v>65</v>
      </c>
      <c r="D101" s="136" t="s">
        <v>650</v>
      </c>
      <c r="E101" s="136" t="s">
        <v>202</v>
      </c>
      <c r="F101" s="136">
        <v>79</v>
      </c>
      <c r="G101" s="136" t="s">
        <v>195</v>
      </c>
      <c r="H101" s="136">
        <v>1</v>
      </c>
      <c r="I101" s="136">
        <v>2</v>
      </c>
      <c r="K101" s="90" t="str">
        <f t="shared" ref="K101:K164" si="11">E101&amp;F101&amp;G101</f>
        <v>F79M</v>
      </c>
      <c r="L101" s="90"/>
      <c r="M101" s="90"/>
      <c r="N101" s="90"/>
      <c r="O101" s="90"/>
      <c r="P101" s="90"/>
    </row>
    <row r="102" spans="3:16" x14ac:dyDescent="0.3">
      <c r="C102" s="117">
        <v>66</v>
      </c>
      <c r="D102" s="136" t="s">
        <v>650</v>
      </c>
      <c r="E102" s="136" t="s">
        <v>201</v>
      </c>
      <c r="F102" s="136">
        <v>68</v>
      </c>
      <c r="G102" s="136" t="s">
        <v>202</v>
      </c>
      <c r="H102" s="136">
        <v>2</v>
      </c>
      <c r="I102" s="136">
        <v>2</v>
      </c>
      <c r="K102" s="90" t="str">
        <f t="shared" si="11"/>
        <v>G68F</v>
      </c>
      <c r="L102" s="90"/>
      <c r="M102" s="90"/>
      <c r="N102" s="90"/>
      <c r="O102" s="90"/>
      <c r="P102" s="90"/>
    </row>
    <row r="103" spans="3:16" x14ac:dyDescent="0.3">
      <c r="C103" s="117">
        <v>67</v>
      </c>
      <c r="D103" s="136" t="s">
        <v>650</v>
      </c>
      <c r="E103" s="136" t="s">
        <v>200</v>
      </c>
      <c r="F103" s="136">
        <v>73</v>
      </c>
      <c r="G103" s="136" t="s">
        <v>202</v>
      </c>
      <c r="H103" s="136">
        <v>0</v>
      </c>
      <c r="I103" s="136">
        <v>0</v>
      </c>
      <c r="K103" s="90" t="str">
        <f t="shared" si="11"/>
        <v>H73F</v>
      </c>
      <c r="L103" s="90"/>
      <c r="M103" s="90"/>
      <c r="N103" s="90"/>
      <c r="O103" s="90"/>
      <c r="P103" s="90"/>
    </row>
    <row r="104" spans="3:16" x14ac:dyDescent="0.3">
      <c r="C104" s="117">
        <v>68</v>
      </c>
      <c r="D104" s="136" t="s">
        <v>650</v>
      </c>
      <c r="E104" s="136" t="s">
        <v>203</v>
      </c>
      <c r="F104" s="136">
        <v>76</v>
      </c>
      <c r="G104" s="136" t="s">
        <v>195</v>
      </c>
      <c r="H104" s="136">
        <v>1</v>
      </c>
      <c r="I104" s="136">
        <v>1</v>
      </c>
      <c r="K104" s="90" t="str">
        <f t="shared" si="11"/>
        <v>E76M</v>
      </c>
      <c r="L104" s="90"/>
      <c r="M104" s="90"/>
      <c r="N104" s="90"/>
      <c r="O104" s="90"/>
      <c r="P104" s="90"/>
    </row>
    <row r="105" spans="3:16" x14ac:dyDescent="0.3">
      <c r="C105" s="117">
        <v>69</v>
      </c>
      <c r="D105" s="136" t="s">
        <v>650</v>
      </c>
      <c r="E105" s="136" t="s">
        <v>68</v>
      </c>
      <c r="F105" s="136">
        <v>66</v>
      </c>
      <c r="G105" s="136" t="s">
        <v>195</v>
      </c>
      <c r="H105" s="136">
        <v>1</v>
      </c>
      <c r="I105" s="136">
        <v>1</v>
      </c>
      <c r="K105" s="90" t="str">
        <f t="shared" si="11"/>
        <v>C66M</v>
      </c>
      <c r="L105" s="90"/>
      <c r="M105" s="90"/>
      <c r="N105" s="90"/>
      <c r="O105" s="90"/>
      <c r="P105" s="90"/>
    </row>
    <row r="106" spans="3:16" x14ac:dyDescent="0.3">
      <c r="C106" s="117">
        <v>70</v>
      </c>
      <c r="D106" s="136" t="s">
        <v>650</v>
      </c>
      <c r="E106" s="136" t="s">
        <v>200</v>
      </c>
      <c r="F106" s="136">
        <v>76</v>
      </c>
      <c r="G106" s="136" t="s">
        <v>195</v>
      </c>
      <c r="H106" s="136">
        <v>1</v>
      </c>
      <c r="I106" s="136">
        <v>1</v>
      </c>
      <c r="K106" s="90" t="str">
        <f t="shared" si="11"/>
        <v>H76M</v>
      </c>
      <c r="L106" s="90"/>
      <c r="M106" s="90"/>
      <c r="N106" s="90"/>
      <c r="O106" s="90"/>
      <c r="P106" s="90"/>
    </row>
    <row r="107" spans="3:16" x14ac:dyDescent="0.3">
      <c r="C107" s="117">
        <v>71</v>
      </c>
      <c r="D107" s="136" t="s">
        <v>650</v>
      </c>
      <c r="E107" s="136" t="s">
        <v>203</v>
      </c>
      <c r="F107" s="136">
        <v>74</v>
      </c>
      <c r="G107" s="136" t="s">
        <v>195</v>
      </c>
      <c r="H107" s="136">
        <v>0</v>
      </c>
      <c r="I107" s="136">
        <v>0</v>
      </c>
      <c r="K107" s="90" t="str">
        <f t="shared" si="11"/>
        <v>E74M</v>
      </c>
      <c r="L107" s="90"/>
      <c r="M107" s="90"/>
      <c r="N107" s="90"/>
      <c r="O107" s="90"/>
      <c r="P107" s="90"/>
    </row>
    <row r="108" spans="3:16" x14ac:dyDescent="0.3">
      <c r="C108" s="117">
        <v>72</v>
      </c>
      <c r="D108" s="136" t="s">
        <v>650</v>
      </c>
      <c r="E108" s="136" t="s">
        <v>201</v>
      </c>
      <c r="F108" s="136">
        <v>74</v>
      </c>
      <c r="G108" s="136" t="s">
        <v>195</v>
      </c>
      <c r="H108" s="136">
        <v>0</v>
      </c>
      <c r="I108" s="136">
        <v>0</v>
      </c>
      <c r="K108" s="90" t="str">
        <f t="shared" si="11"/>
        <v>G74M</v>
      </c>
      <c r="L108" s="90"/>
      <c r="M108" s="90"/>
      <c r="N108" s="90"/>
      <c r="O108" s="90"/>
      <c r="P108" s="90"/>
    </row>
    <row r="109" spans="3:16" x14ac:dyDescent="0.3">
      <c r="C109" s="117">
        <v>73</v>
      </c>
      <c r="D109" s="136" t="s">
        <v>650</v>
      </c>
      <c r="E109" s="136" t="s">
        <v>199</v>
      </c>
      <c r="F109" s="136">
        <v>70</v>
      </c>
      <c r="G109" s="136" t="s">
        <v>195</v>
      </c>
      <c r="H109" s="136">
        <v>0</v>
      </c>
      <c r="I109" s="136">
        <v>0</v>
      </c>
      <c r="K109" s="90" t="str">
        <f t="shared" si="11"/>
        <v>I70M</v>
      </c>
      <c r="L109" s="90"/>
      <c r="M109" s="90"/>
      <c r="N109" s="90"/>
      <c r="O109" s="90"/>
      <c r="P109" s="90"/>
    </row>
    <row r="110" spans="3:16" x14ac:dyDescent="0.3">
      <c r="C110" s="117">
        <v>74</v>
      </c>
      <c r="D110" s="136" t="s">
        <v>650</v>
      </c>
      <c r="E110" s="136" t="s">
        <v>201</v>
      </c>
      <c r="F110" s="136">
        <v>66</v>
      </c>
      <c r="G110" s="136" t="s">
        <v>195</v>
      </c>
      <c r="H110" s="136">
        <v>1</v>
      </c>
      <c r="I110" s="136">
        <v>1</v>
      </c>
      <c r="K110" s="90" t="str">
        <f t="shared" si="11"/>
        <v>G66M</v>
      </c>
      <c r="L110" s="90"/>
      <c r="M110" s="90"/>
      <c r="N110" s="90"/>
      <c r="O110" s="90"/>
      <c r="P110" s="90"/>
    </row>
    <row r="111" spans="3:16" x14ac:dyDescent="0.3">
      <c r="C111" s="117">
        <v>75</v>
      </c>
      <c r="D111" s="136" t="s">
        <v>650</v>
      </c>
      <c r="E111" s="136" t="s">
        <v>200</v>
      </c>
      <c r="F111" s="136">
        <v>68</v>
      </c>
      <c r="G111" s="136" t="s">
        <v>202</v>
      </c>
      <c r="H111" s="136">
        <v>1</v>
      </c>
      <c r="I111" s="136">
        <v>1</v>
      </c>
      <c r="K111" s="90" t="str">
        <f t="shared" si="11"/>
        <v>H68F</v>
      </c>
      <c r="L111" s="90"/>
      <c r="M111" s="90"/>
      <c r="N111" s="90"/>
      <c r="O111" s="90"/>
      <c r="P111" s="90"/>
    </row>
    <row r="112" spans="3:16" x14ac:dyDescent="0.3">
      <c r="C112" s="117">
        <v>76</v>
      </c>
      <c r="D112" s="136" t="s">
        <v>650</v>
      </c>
      <c r="E112" s="136" t="s">
        <v>200</v>
      </c>
      <c r="F112" s="136">
        <v>67</v>
      </c>
      <c r="G112" s="136" t="s">
        <v>202</v>
      </c>
      <c r="H112" s="136">
        <v>1</v>
      </c>
      <c r="I112" s="136">
        <v>1</v>
      </c>
      <c r="K112" s="90" t="str">
        <f t="shared" si="11"/>
        <v>H67F</v>
      </c>
      <c r="L112" s="90"/>
      <c r="M112" s="90"/>
      <c r="N112" s="90"/>
      <c r="O112" s="90"/>
      <c r="P112" s="90"/>
    </row>
    <row r="113" spans="3:16" x14ac:dyDescent="0.3">
      <c r="C113" s="117">
        <v>77</v>
      </c>
      <c r="D113" s="136" t="s">
        <v>650</v>
      </c>
      <c r="E113" s="136" t="s">
        <v>204</v>
      </c>
      <c r="F113" s="136">
        <v>65</v>
      </c>
      <c r="G113" s="136" t="s">
        <v>195</v>
      </c>
      <c r="H113" s="136">
        <v>1</v>
      </c>
      <c r="I113" s="136">
        <v>1</v>
      </c>
      <c r="K113" s="90" t="str">
        <f t="shared" si="11"/>
        <v>D65M</v>
      </c>
      <c r="L113" s="90"/>
      <c r="M113" s="90"/>
      <c r="N113" s="90"/>
      <c r="O113" s="90"/>
      <c r="P113" s="90"/>
    </row>
    <row r="114" spans="3:16" x14ac:dyDescent="0.3">
      <c r="C114" s="117">
        <v>78</v>
      </c>
      <c r="D114" s="136" t="s">
        <v>650</v>
      </c>
      <c r="E114" s="136" t="s">
        <v>199</v>
      </c>
      <c r="F114" s="136">
        <v>77</v>
      </c>
      <c r="G114" s="136" t="s">
        <v>202</v>
      </c>
      <c r="H114" s="136">
        <v>1</v>
      </c>
      <c r="I114" s="136">
        <v>1</v>
      </c>
      <c r="K114" s="90" t="str">
        <f t="shared" si="11"/>
        <v>I77F</v>
      </c>
      <c r="L114" s="90"/>
      <c r="M114" s="90"/>
      <c r="N114" s="90"/>
      <c r="O114" s="90"/>
      <c r="P114" s="90"/>
    </row>
    <row r="115" spans="3:16" x14ac:dyDescent="0.3">
      <c r="C115" s="117">
        <v>79</v>
      </c>
      <c r="D115" s="136" t="s">
        <v>650</v>
      </c>
      <c r="E115" s="136" t="s">
        <v>201</v>
      </c>
      <c r="F115" s="136">
        <v>79</v>
      </c>
      <c r="G115" s="136" t="s">
        <v>195</v>
      </c>
      <c r="H115" s="136">
        <v>1</v>
      </c>
      <c r="I115" s="136">
        <v>1</v>
      </c>
      <c r="K115" s="90" t="str">
        <f t="shared" si="11"/>
        <v>G79M</v>
      </c>
      <c r="L115" s="90"/>
      <c r="M115" s="90"/>
      <c r="N115" s="90"/>
      <c r="O115" s="90"/>
      <c r="P115" s="90"/>
    </row>
    <row r="116" spans="3:16" x14ac:dyDescent="0.3">
      <c r="C116" s="117">
        <v>80</v>
      </c>
      <c r="D116" s="136" t="s">
        <v>650</v>
      </c>
      <c r="E116" s="136" t="s">
        <v>70</v>
      </c>
      <c r="F116" s="136">
        <v>79</v>
      </c>
      <c r="G116" s="136" t="s">
        <v>202</v>
      </c>
      <c r="H116" s="136">
        <v>0</v>
      </c>
      <c r="I116" s="136">
        <v>0</v>
      </c>
      <c r="K116" s="90" t="str">
        <f t="shared" si="11"/>
        <v>A79F</v>
      </c>
      <c r="L116" s="90"/>
      <c r="M116" s="90"/>
      <c r="N116" s="90"/>
      <c r="O116" s="90"/>
      <c r="P116" s="90"/>
    </row>
    <row r="117" spans="3:16" x14ac:dyDescent="0.3">
      <c r="C117" s="117">
        <v>81</v>
      </c>
      <c r="D117" s="136" t="s">
        <v>650</v>
      </c>
      <c r="E117" s="136" t="s">
        <v>201</v>
      </c>
      <c r="F117" s="136">
        <v>67</v>
      </c>
      <c r="G117" s="136" t="s">
        <v>202</v>
      </c>
      <c r="H117" s="136">
        <v>0</v>
      </c>
      <c r="I117" s="136">
        <v>0</v>
      </c>
      <c r="K117" s="90" t="str">
        <f t="shared" si="11"/>
        <v>G67F</v>
      </c>
      <c r="L117" s="90"/>
      <c r="M117" s="90"/>
      <c r="N117" s="90"/>
      <c r="O117" s="90"/>
      <c r="P117" s="90"/>
    </row>
    <row r="118" spans="3:16" x14ac:dyDescent="0.3">
      <c r="C118" s="117">
        <v>82</v>
      </c>
      <c r="D118" s="136" t="s">
        <v>650</v>
      </c>
      <c r="E118" s="136" t="s">
        <v>68</v>
      </c>
      <c r="F118" s="136">
        <v>72</v>
      </c>
      <c r="G118" s="136" t="s">
        <v>195</v>
      </c>
      <c r="H118" s="136">
        <v>0</v>
      </c>
      <c r="I118" s="136">
        <v>0</v>
      </c>
      <c r="K118" s="90" t="str">
        <f t="shared" si="11"/>
        <v>C72M</v>
      </c>
      <c r="L118" s="90"/>
      <c r="M118" s="90"/>
      <c r="N118" s="90"/>
      <c r="O118" s="90"/>
      <c r="P118" s="90"/>
    </row>
    <row r="119" spans="3:16" x14ac:dyDescent="0.3">
      <c r="C119" s="117">
        <v>83</v>
      </c>
      <c r="D119" s="136" t="s">
        <v>650</v>
      </c>
      <c r="E119" s="136" t="s">
        <v>69</v>
      </c>
      <c r="F119" s="136">
        <v>71</v>
      </c>
      <c r="G119" s="136" t="s">
        <v>202</v>
      </c>
      <c r="H119" s="136">
        <v>2</v>
      </c>
      <c r="I119" s="136">
        <v>2</v>
      </c>
      <c r="K119" s="90" t="str">
        <f t="shared" si="11"/>
        <v>B71F</v>
      </c>
      <c r="L119" s="90"/>
      <c r="M119" s="90"/>
      <c r="N119" s="90"/>
      <c r="O119" s="90"/>
      <c r="P119" s="90"/>
    </row>
    <row r="120" spans="3:16" x14ac:dyDescent="0.3">
      <c r="C120" s="117">
        <v>84</v>
      </c>
      <c r="D120" s="136" t="s">
        <v>650</v>
      </c>
      <c r="E120" s="136" t="s">
        <v>69</v>
      </c>
      <c r="F120" s="136">
        <v>65</v>
      </c>
      <c r="G120" s="136" t="s">
        <v>202</v>
      </c>
      <c r="H120" s="136">
        <v>0</v>
      </c>
      <c r="I120" s="136">
        <v>1</v>
      </c>
      <c r="K120" s="90" t="str">
        <f t="shared" si="11"/>
        <v>B65F</v>
      </c>
      <c r="L120" s="90"/>
      <c r="M120" s="90"/>
      <c r="N120" s="90"/>
      <c r="O120" s="90"/>
      <c r="P120" s="90"/>
    </row>
    <row r="121" spans="3:16" x14ac:dyDescent="0.3">
      <c r="C121" s="117">
        <v>85</v>
      </c>
      <c r="D121" s="136" t="s">
        <v>650</v>
      </c>
      <c r="E121" s="136" t="s">
        <v>198</v>
      </c>
      <c r="F121" s="136">
        <v>76</v>
      </c>
      <c r="G121" s="136" t="s">
        <v>202</v>
      </c>
      <c r="H121" s="136">
        <v>0</v>
      </c>
      <c r="I121" s="136">
        <v>0</v>
      </c>
      <c r="K121" s="90" t="str">
        <f t="shared" si="11"/>
        <v>J76F</v>
      </c>
      <c r="L121" s="90"/>
      <c r="M121" s="90"/>
      <c r="N121" s="90"/>
      <c r="O121" s="90"/>
      <c r="P121" s="90"/>
    </row>
    <row r="122" spans="3:16" x14ac:dyDescent="0.3">
      <c r="C122" s="117">
        <v>86</v>
      </c>
      <c r="D122" s="136" t="s">
        <v>650</v>
      </c>
      <c r="E122" s="136" t="s">
        <v>202</v>
      </c>
      <c r="F122" s="136">
        <v>73</v>
      </c>
      <c r="G122" s="136" t="s">
        <v>195</v>
      </c>
      <c r="H122" s="136">
        <v>0</v>
      </c>
      <c r="I122" s="136">
        <v>0</v>
      </c>
      <c r="K122" s="90" t="str">
        <f t="shared" si="11"/>
        <v>F73M</v>
      </c>
      <c r="L122" s="90"/>
      <c r="M122" s="90"/>
      <c r="N122" s="90"/>
      <c r="O122" s="90"/>
      <c r="P122" s="90"/>
    </row>
    <row r="123" spans="3:16" x14ac:dyDescent="0.3">
      <c r="C123" s="117">
        <v>87</v>
      </c>
      <c r="D123" s="136" t="s">
        <v>650</v>
      </c>
      <c r="E123" s="136" t="s">
        <v>198</v>
      </c>
      <c r="F123" s="136">
        <v>78</v>
      </c>
      <c r="G123" s="136" t="s">
        <v>195</v>
      </c>
      <c r="H123" s="136">
        <v>0</v>
      </c>
      <c r="I123" s="136">
        <v>0</v>
      </c>
      <c r="K123" s="90" t="str">
        <f t="shared" si="11"/>
        <v>J78M</v>
      </c>
      <c r="L123" s="90"/>
      <c r="M123" s="90"/>
      <c r="N123" s="90"/>
      <c r="O123" s="90"/>
      <c r="P123" s="90"/>
    </row>
    <row r="124" spans="3:16" x14ac:dyDescent="0.3">
      <c r="C124" s="117">
        <v>88</v>
      </c>
      <c r="D124" s="136" t="s">
        <v>650</v>
      </c>
      <c r="E124" s="136" t="s">
        <v>68</v>
      </c>
      <c r="F124" s="136">
        <v>66</v>
      </c>
      <c r="G124" s="136" t="s">
        <v>202</v>
      </c>
      <c r="H124" s="136">
        <v>0</v>
      </c>
      <c r="I124" s="136">
        <v>0</v>
      </c>
      <c r="K124" s="90" t="str">
        <f t="shared" si="11"/>
        <v>C66F</v>
      </c>
      <c r="L124" s="90"/>
      <c r="M124" s="90"/>
      <c r="N124" s="90"/>
      <c r="O124" s="90"/>
      <c r="P124" s="90"/>
    </row>
    <row r="125" spans="3:16" x14ac:dyDescent="0.3">
      <c r="C125" s="117">
        <v>89</v>
      </c>
      <c r="D125" s="136" t="s">
        <v>650</v>
      </c>
      <c r="E125" s="136" t="s">
        <v>202</v>
      </c>
      <c r="F125" s="136">
        <v>69</v>
      </c>
      <c r="G125" s="136" t="s">
        <v>202</v>
      </c>
      <c r="H125" s="136">
        <v>2</v>
      </c>
      <c r="I125" s="136">
        <v>3</v>
      </c>
      <c r="K125" s="90" t="str">
        <f t="shared" si="11"/>
        <v>F69F</v>
      </c>
      <c r="L125" s="90"/>
      <c r="M125" s="90"/>
      <c r="N125" s="90"/>
      <c r="O125" s="90"/>
      <c r="P125" s="90"/>
    </row>
    <row r="126" spans="3:16" x14ac:dyDescent="0.3">
      <c r="C126" s="117">
        <v>90</v>
      </c>
      <c r="D126" s="136" t="s">
        <v>650</v>
      </c>
      <c r="E126" s="136" t="s">
        <v>201</v>
      </c>
      <c r="F126" s="136">
        <v>74</v>
      </c>
      <c r="G126" s="136" t="s">
        <v>195</v>
      </c>
      <c r="H126" s="136">
        <v>0</v>
      </c>
      <c r="I126" s="136">
        <v>0</v>
      </c>
      <c r="K126" s="90" t="str">
        <f t="shared" si="11"/>
        <v>G74M</v>
      </c>
      <c r="L126" s="90"/>
      <c r="M126" s="90"/>
      <c r="N126" s="90"/>
      <c r="O126" s="90"/>
      <c r="P126" s="90"/>
    </row>
    <row r="127" spans="3:16" x14ac:dyDescent="0.3">
      <c r="C127" s="117">
        <v>91</v>
      </c>
      <c r="D127" s="136" t="s">
        <v>650</v>
      </c>
      <c r="E127" s="136" t="s">
        <v>69</v>
      </c>
      <c r="F127" s="136">
        <v>75</v>
      </c>
      <c r="G127" s="136" t="s">
        <v>195</v>
      </c>
      <c r="H127" s="136">
        <v>1</v>
      </c>
      <c r="I127" s="136">
        <v>1</v>
      </c>
      <c r="K127" s="90" t="str">
        <f t="shared" si="11"/>
        <v>B75M</v>
      </c>
      <c r="L127" s="90"/>
      <c r="M127" s="90"/>
      <c r="N127" s="90"/>
      <c r="O127" s="90"/>
      <c r="P127" s="90"/>
    </row>
    <row r="128" spans="3:16" x14ac:dyDescent="0.3">
      <c r="C128" s="117">
        <v>92</v>
      </c>
      <c r="D128" s="136" t="s">
        <v>650</v>
      </c>
      <c r="E128" s="136" t="s">
        <v>199</v>
      </c>
      <c r="F128" s="136">
        <v>66</v>
      </c>
      <c r="G128" s="136" t="s">
        <v>202</v>
      </c>
      <c r="H128" s="136">
        <v>0</v>
      </c>
      <c r="I128" s="136">
        <v>0</v>
      </c>
      <c r="K128" s="90" t="str">
        <f t="shared" si="11"/>
        <v>I66F</v>
      </c>
      <c r="L128" s="90"/>
      <c r="M128" s="90"/>
      <c r="N128" s="90"/>
      <c r="O128" s="90"/>
      <c r="P128" s="90"/>
    </row>
    <row r="129" spans="3:16" x14ac:dyDescent="0.3">
      <c r="C129" s="117">
        <v>93</v>
      </c>
      <c r="D129" s="136" t="s">
        <v>650</v>
      </c>
      <c r="E129" s="136" t="s">
        <v>199</v>
      </c>
      <c r="F129" s="136">
        <v>77</v>
      </c>
      <c r="G129" s="136" t="s">
        <v>195</v>
      </c>
      <c r="H129" s="136">
        <v>0</v>
      </c>
      <c r="I129" s="136">
        <v>0</v>
      </c>
      <c r="K129" s="90" t="str">
        <f t="shared" si="11"/>
        <v>I77M</v>
      </c>
      <c r="L129" s="90"/>
      <c r="M129" s="90"/>
      <c r="N129" s="90"/>
      <c r="O129" s="90"/>
      <c r="P129" s="90"/>
    </row>
    <row r="130" spans="3:16" x14ac:dyDescent="0.3">
      <c r="C130" s="117">
        <v>94</v>
      </c>
      <c r="D130" s="136" t="s">
        <v>650</v>
      </c>
      <c r="E130" s="136" t="s">
        <v>69</v>
      </c>
      <c r="F130" s="136">
        <v>77</v>
      </c>
      <c r="G130" s="136" t="s">
        <v>195</v>
      </c>
      <c r="H130" s="136">
        <v>0</v>
      </c>
      <c r="I130" s="136">
        <v>1</v>
      </c>
      <c r="K130" s="90" t="str">
        <f t="shared" si="11"/>
        <v>B77M</v>
      </c>
      <c r="L130" s="90"/>
      <c r="M130" s="90"/>
      <c r="N130" s="90"/>
      <c r="O130" s="90"/>
      <c r="P130" s="90"/>
    </row>
    <row r="131" spans="3:16" x14ac:dyDescent="0.3">
      <c r="C131" s="117">
        <v>95</v>
      </c>
      <c r="D131" s="136" t="s">
        <v>650</v>
      </c>
      <c r="E131" s="136" t="s">
        <v>200</v>
      </c>
      <c r="F131" s="136">
        <v>70</v>
      </c>
      <c r="G131" s="136" t="s">
        <v>202</v>
      </c>
      <c r="H131" s="136">
        <v>0</v>
      </c>
      <c r="I131" s="136">
        <v>2</v>
      </c>
      <c r="K131" s="90" t="str">
        <f t="shared" si="11"/>
        <v>H70F</v>
      </c>
      <c r="L131" s="90"/>
      <c r="M131" s="90"/>
      <c r="N131" s="90"/>
      <c r="O131" s="90"/>
      <c r="P131" s="90"/>
    </row>
    <row r="132" spans="3:16" x14ac:dyDescent="0.3">
      <c r="C132" s="117">
        <v>96</v>
      </c>
      <c r="D132" s="136" t="s">
        <v>650</v>
      </c>
      <c r="E132" s="136" t="s">
        <v>70</v>
      </c>
      <c r="F132" s="136">
        <v>78</v>
      </c>
      <c r="G132" s="136" t="s">
        <v>202</v>
      </c>
      <c r="H132" s="136">
        <v>1</v>
      </c>
      <c r="I132" s="136">
        <v>1</v>
      </c>
      <c r="K132" s="90" t="str">
        <f t="shared" si="11"/>
        <v>A78F</v>
      </c>
      <c r="L132" s="90"/>
      <c r="M132" s="90"/>
      <c r="N132" s="90"/>
      <c r="O132" s="90"/>
      <c r="P132" s="90"/>
    </row>
    <row r="133" spans="3:16" x14ac:dyDescent="0.3">
      <c r="C133" s="117">
        <v>97</v>
      </c>
      <c r="D133" s="136" t="s">
        <v>650</v>
      </c>
      <c r="E133" s="136" t="s">
        <v>203</v>
      </c>
      <c r="F133" s="136">
        <v>75</v>
      </c>
      <c r="G133" s="136" t="s">
        <v>195</v>
      </c>
      <c r="H133" s="136">
        <v>0</v>
      </c>
      <c r="I133" s="136">
        <v>0</v>
      </c>
      <c r="K133" s="90" t="str">
        <f t="shared" si="11"/>
        <v>E75M</v>
      </c>
      <c r="L133" s="90"/>
      <c r="M133" s="90"/>
      <c r="N133" s="90"/>
      <c r="O133" s="90"/>
      <c r="P133" s="90"/>
    </row>
    <row r="134" spans="3:16" x14ac:dyDescent="0.3">
      <c r="C134" s="117">
        <v>98</v>
      </c>
      <c r="D134" s="136" t="s">
        <v>650</v>
      </c>
      <c r="E134" s="136" t="s">
        <v>204</v>
      </c>
      <c r="F134" s="136">
        <v>68</v>
      </c>
      <c r="G134" s="136" t="s">
        <v>195</v>
      </c>
      <c r="H134" s="136">
        <v>0</v>
      </c>
      <c r="I134" s="136">
        <v>1</v>
      </c>
      <c r="K134" s="90" t="str">
        <f t="shared" si="11"/>
        <v>D68M</v>
      </c>
      <c r="L134" s="90"/>
      <c r="M134" s="90"/>
      <c r="N134" s="90"/>
      <c r="O134" s="90"/>
      <c r="P134" s="90"/>
    </row>
    <row r="135" spans="3:16" x14ac:dyDescent="0.3">
      <c r="C135" s="117">
        <v>99</v>
      </c>
      <c r="D135" s="136" t="s">
        <v>650</v>
      </c>
      <c r="E135" s="136" t="s">
        <v>69</v>
      </c>
      <c r="F135" s="136">
        <v>67</v>
      </c>
      <c r="G135" s="136" t="s">
        <v>195</v>
      </c>
      <c r="H135" s="136">
        <v>0</v>
      </c>
      <c r="I135" s="136">
        <v>0</v>
      </c>
      <c r="K135" s="90" t="str">
        <f t="shared" si="11"/>
        <v>B67M</v>
      </c>
      <c r="L135" s="90"/>
      <c r="M135" s="90"/>
      <c r="N135" s="90"/>
      <c r="O135" s="90"/>
      <c r="P135" s="90"/>
    </row>
    <row r="136" spans="3:16" x14ac:dyDescent="0.3">
      <c r="C136" s="117">
        <v>100</v>
      </c>
      <c r="D136" s="136" t="s">
        <v>650</v>
      </c>
      <c r="E136" s="136" t="s">
        <v>69</v>
      </c>
      <c r="F136" s="136">
        <v>73</v>
      </c>
      <c r="G136" s="136" t="s">
        <v>195</v>
      </c>
      <c r="H136" s="136">
        <v>0</v>
      </c>
      <c r="I136" s="136">
        <v>0</v>
      </c>
      <c r="K136" s="90" t="str">
        <f t="shared" si="11"/>
        <v>B73M</v>
      </c>
      <c r="L136" s="90"/>
      <c r="M136" s="90"/>
      <c r="N136" s="90"/>
      <c r="O136" s="90"/>
      <c r="P136" s="90"/>
    </row>
    <row r="137" spans="3:16" x14ac:dyDescent="0.3">
      <c r="C137" s="117">
        <v>101</v>
      </c>
      <c r="D137" s="136" t="s">
        <v>650</v>
      </c>
      <c r="E137" s="136" t="s">
        <v>198</v>
      </c>
      <c r="F137" s="136">
        <v>65</v>
      </c>
      <c r="G137" s="136" t="s">
        <v>195</v>
      </c>
      <c r="H137" s="136">
        <v>0</v>
      </c>
      <c r="I137" s="136">
        <v>0</v>
      </c>
      <c r="K137" s="90" t="str">
        <f t="shared" si="11"/>
        <v>J65M</v>
      </c>
      <c r="L137" s="90"/>
      <c r="M137" s="90"/>
      <c r="N137" s="90"/>
      <c r="O137" s="90"/>
      <c r="P137" s="90"/>
    </row>
    <row r="138" spans="3:16" x14ac:dyDescent="0.3">
      <c r="C138" s="117">
        <v>102</v>
      </c>
      <c r="D138" s="136" t="s">
        <v>650</v>
      </c>
      <c r="E138" s="136" t="s">
        <v>200</v>
      </c>
      <c r="F138" s="136">
        <v>78</v>
      </c>
      <c r="G138" s="136" t="s">
        <v>195</v>
      </c>
      <c r="H138" s="136">
        <v>2</v>
      </c>
      <c r="I138" s="136">
        <v>2</v>
      </c>
      <c r="K138" s="90" t="str">
        <f t="shared" si="11"/>
        <v>H78M</v>
      </c>
      <c r="L138" s="90"/>
      <c r="M138" s="90"/>
      <c r="N138" s="90"/>
      <c r="O138" s="90"/>
      <c r="P138" s="90"/>
    </row>
    <row r="139" spans="3:16" x14ac:dyDescent="0.3">
      <c r="C139" s="117">
        <v>103</v>
      </c>
      <c r="D139" s="136" t="s">
        <v>650</v>
      </c>
      <c r="E139" s="136" t="s">
        <v>198</v>
      </c>
      <c r="F139" s="136">
        <v>74</v>
      </c>
      <c r="G139" s="136" t="s">
        <v>195</v>
      </c>
      <c r="H139" s="136">
        <v>1</v>
      </c>
      <c r="I139" s="136">
        <v>3</v>
      </c>
      <c r="K139" s="90" t="str">
        <f t="shared" si="11"/>
        <v>J74M</v>
      </c>
      <c r="L139" s="90"/>
      <c r="M139" s="90"/>
      <c r="N139" s="90"/>
      <c r="O139" s="90"/>
      <c r="P139" s="90"/>
    </row>
    <row r="140" spans="3:16" x14ac:dyDescent="0.3">
      <c r="C140" s="117">
        <v>104</v>
      </c>
      <c r="D140" s="136" t="s">
        <v>650</v>
      </c>
      <c r="E140" s="136" t="s">
        <v>201</v>
      </c>
      <c r="F140" s="136">
        <v>65</v>
      </c>
      <c r="G140" s="136" t="s">
        <v>202</v>
      </c>
      <c r="H140" s="136">
        <v>2</v>
      </c>
      <c r="I140" s="136">
        <v>0</v>
      </c>
      <c r="K140" s="90" t="str">
        <f t="shared" si="11"/>
        <v>G65F</v>
      </c>
      <c r="L140" s="90"/>
      <c r="M140" s="90"/>
      <c r="N140" s="90"/>
      <c r="O140" s="90"/>
      <c r="P140" s="90"/>
    </row>
    <row r="141" spans="3:16" x14ac:dyDescent="0.3">
      <c r="C141" s="117">
        <v>105</v>
      </c>
      <c r="D141" s="136" t="s">
        <v>650</v>
      </c>
      <c r="E141" s="136" t="s">
        <v>200</v>
      </c>
      <c r="F141" s="136">
        <v>77</v>
      </c>
      <c r="G141" s="136" t="s">
        <v>202</v>
      </c>
      <c r="H141" s="136">
        <v>0</v>
      </c>
      <c r="I141" s="136">
        <v>0</v>
      </c>
      <c r="K141" s="90" t="str">
        <f t="shared" si="11"/>
        <v>H77F</v>
      </c>
      <c r="L141" s="90"/>
      <c r="M141" s="90"/>
      <c r="N141" s="90"/>
      <c r="O141" s="90"/>
      <c r="P141" s="90"/>
    </row>
    <row r="142" spans="3:16" x14ac:dyDescent="0.3">
      <c r="C142" s="117">
        <v>106</v>
      </c>
      <c r="D142" s="136" t="s">
        <v>650</v>
      </c>
      <c r="E142" s="136" t="s">
        <v>70</v>
      </c>
      <c r="F142" s="136">
        <v>79</v>
      </c>
      <c r="G142" s="136" t="s">
        <v>202</v>
      </c>
      <c r="H142" s="136">
        <v>2</v>
      </c>
      <c r="I142" s="136">
        <v>2</v>
      </c>
      <c r="K142" s="90" t="str">
        <f t="shared" si="11"/>
        <v>A79F</v>
      </c>
      <c r="L142" s="90"/>
      <c r="M142" s="90"/>
      <c r="N142" s="90"/>
      <c r="O142" s="90"/>
      <c r="P142" s="90"/>
    </row>
    <row r="143" spans="3:16" x14ac:dyDescent="0.3">
      <c r="C143" s="117">
        <v>107</v>
      </c>
      <c r="D143" s="136" t="s">
        <v>650</v>
      </c>
      <c r="E143" s="136" t="s">
        <v>68</v>
      </c>
      <c r="F143" s="136">
        <v>72</v>
      </c>
      <c r="G143" s="136" t="s">
        <v>195</v>
      </c>
      <c r="H143" s="136">
        <v>0</v>
      </c>
      <c r="I143" s="136">
        <v>1</v>
      </c>
      <c r="K143" s="90" t="str">
        <f t="shared" si="11"/>
        <v>C72M</v>
      </c>
      <c r="L143" s="90"/>
      <c r="M143" s="90"/>
      <c r="N143" s="90"/>
      <c r="O143" s="90"/>
      <c r="P143" s="90"/>
    </row>
    <row r="144" spans="3:16" x14ac:dyDescent="0.3">
      <c r="C144" s="117">
        <v>108</v>
      </c>
      <c r="D144" s="136" t="s">
        <v>650</v>
      </c>
      <c r="E144" s="136" t="s">
        <v>69</v>
      </c>
      <c r="F144" s="136">
        <v>75</v>
      </c>
      <c r="G144" s="136" t="s">
        <v>195</v>
      </c>
      <c r="H144" s="136">
        <v>0</v>
      </c>
      <c r="I144" s="136">
        <v>0</v>
      </c>
      <c r="K144" s="90" t="str">
        <f t="shared" si="11"/>
        <v>B75M</v>
      </c>
      <c r="L144" s="90"/>
      <c r="M144" s="90"/>
      <c r="N144" s="90"/>
      <c r="O144" s="90"/>
      <c r="P144" s="90"/>
    </row>
    <row r="145" spans="3:16" x14ac:dyDescent="0.3">
      <c r="C145" s="117">
        <v>109</v>
      </c>
      <c r="D145" s="136" t="s">
        <v>650</v>
      </c>
      <c r="E145" s="136" t="s">
        <v>198</v>
      </c>
      <c r="F145" s="136">
        <v>80</v>
      </c>
      <c r="G145" s="136" t="s">
        <v>195</v>
      </c>
      <c r="H145" s="136">
        <v>0</v>
      </c>
      <c r="I145" s="136">
        <v>0</v>
      </c>
      <c r="K145" s="90" t="str">
        <f t="shared" si="11"/>
        <v>J80M</v>
      </c>
      <c r="L145" s="90"/>
      <c r="M145" s="90"/>
      <c r="N145" s="90"/>
      <c r="O145" s="90"/>
      <c r="P145" s="90"/>
    </row>
    <row r="146" spans="3:16" x14ac:dyDescent="0.3">
      <c r="C146" s="117">
        <v>110</v>
      </c>
      <c r="D146" s="136" t="s">
        <v>650</v>
      </c>
      <c r="E146" s="136" t="s">
        <v>200</v>
      </c>
      <c r="F146" s="136">
        <v>77</v>
      </c>
      <c r="G146" s="136" t="s">
        <v>195</v>
      </c>
      <c r="H146" s="136">
        <v>0</v>
      </c>
      <c r="I146" s="136">
        <v>0</v>
      </c>
      <c r="K146" s="90" t="str">
        <f t="shared" si="11"/>
        <v>H77M</v>
      </c>
      <c r="L146" s="90"/>
      <c r="M146" s="90"/>
      <c r="N146" s="90"/>
      <c r="O146" s="90"/>
      <c r="P146" s="90"/>
    </row>
    <row r="147" spans="3:16" x14ac:dyDescent="0.3">
      <c r="C147" s="117">
        <v>111</v>
      </c>
      <c r="D147" s="136" t="s">
        <v>650</v>
      </c>
      <c r="E147" s="136" t="s">
        <v>202</v>
      </c>
      <c r="F147" s="136">
        <v>74</v>
      </c>
      <c r="G147" s="136" t="s">
        <v>195</v>
      </c>
      <c r="H147" s="136">
        <v>0</v>
      </c>
      <c r="I147" s="136">
        <v>0</v>
      </c>
      <c r="K147" s="90" t="str">
        <f t="shared" si="11"/>
        <v>F74M</v>
      </c>
      <c r="L147" s="90"/>
      <c r="M147" s="90"/>
      <c r="N147" s="90"/>
      <c r="O147" s="90"/>
      <c r="P147" s="90"/>
    </row>
    <row r="148" spans="3:16" x14ac:dyDescent="0.3">
      <c r="C148" s="117">
        <v>112</v>
      </c>
      <c r="D148" s="136" t="s">
        <v>650</v>
      </c>
      <c r="E148" s="136" t="s">
        <v>70</v>
      </c>
      <c r="F148" s="136">
        <v>72</v>
      </c>
      <c r="G148" s="136" t="s">
        <v>195</v>
      </c>
      <c r="H148" s="136">
        <v>0</v>
      </c>
      <c r="I148" s="136">
        <v>0</v>
      </c>
      <c r="K148" s="90" t="str">
        <f t="shared" si="11"/>
        <v>A72M</v>
      </c>
      <c r="L148" s="90"/>
      <c r="M148" s="90"/>
      <c r="N148" s="90"/>
      <c r="O148" s="90"/>
      <c r="P148" s="90"/>
    </row>
    <row r="149" spans="3:16" x14ac:dyDescent="0.3">
      <c r="C149" s="117">
        <v>113</v>
      </c>
      <c r="D149" s="136" t="s">
        <v>650</v>
      </c>
      <c r="E149" s="136" t="s">
        <v>203</v>
      </c>
      <c r="F149" s="136">
        <v>72</v>
      </c>
      <c r="G149" s="136" t="s">
        <v>195</v>
      </c>
      <c r="H149" s="136">
        <v>1</v>
      </c>
      <c r="I149" s="136">
        <v>0</v>
      </c>
      <c r="K149" s="90" t="str">
        <f t="shared" si="11"/>
        <v>E72M</v>
      </c>
      <c r="L149" s="90"/>
      <c r="M149" s="90"/>
      <c r="N149" s="90"/>
      <c r="O149" s="90"/>
      <c r="P149" s="90"/>
    </row>
    <row r="150" spans="3:16" x14ac:dyDescent="0.3">
      <c r="C150" s="117">
        <v>114</v>
      </c>
      <c r="D150" s="136" t="s">
        <v>650</v>
      </c>
      <c r="E150" s="136" t="s">
        <v>200</v>
      </c>
      <c r="F150" s="136">
        <v>77</v>
      </c>
      <c r="G150" s="136" t="s">
        <v>202</v>
      </c>
      <c r="H150" s="136">
        <v>0</v>
      </c>
      <c r="I150" s="136">
        <v>0</v>
      </c>
      <c r="K150" s="90" t="str">
        <f t="shared" si="11"/>
        <v>H77F</v>
      </c>
      <c r="L150" s="90"/>
      <c r="M150" s="90"/>
      <c r="N150" s="90"/>
      <c r="O150" s="90"/>
      <c r="P150" s="90"/>
    </row>
    <row r="151" spans="3:16" x14ac:dyDescent="0.3">
      <c r="C151" s="117">
        <v>115</v>
      </c>
      <c r="D151" s="136" t="s">
        <v>650</v>
      </c>
      <c r="E151" s="136" t="s">
        <v>70</v>
      </c>
      <c r="F151" s="136">
        <v>74</v>
      </c>
      <c r="G151" s="136" t="s">
        <v>202</v>
      </c>
      <c r="H151" s="136">
        <v>3</v>
      </c>
      <c r="I151" s="136">
        <v>5</v>
      </c>
      <c r="K151" s="90" t="str">
        <f t="shared" si="11"/>
        <v>A74F</v>
      </c>
      <c r="L151" s="90"/>
      <c r="M151" s="90"/>
      <c r="N151" s="90"/>
      <c r="O151" s="90"/>
      <c r="P151" s="90"/>
    </row>
    <row r="152" spans="3:16" x14ac:dyDescent="0.3">
      <c r="C152" s="117">
        <v>116</v>
      </c>
      <c r="D152" s="136" t="s">
        <v>650</v>
      </c>
      <c r="E152" s="136" t="s">
        <v>203</v>
      </c>
      <c r="F152" s="136">
        <v>72</v>
      </c>
      <c r="G152" s="136" t="s">
        <v>202</v>
      </c>
      <c r="H152" s="136">
        <v>0</v>
      </c>
      <c r="I152" s="136">
        <v>0</v>
      </c>
      <c r="K152" s="90" t="str">
        <f t="shared" si="11"/>
        <v>E72F</v>
      </c>
      <c r="L152" s="90"/>
      <c r="M152" s="90"/>
      <c r="N152" s="90"/>
      <c r="O152" s="90"/>
      <c r="P152" s="90"/>
    </row>
    <row r="153" spans="3:16" x14ac:dyDescent="0.3">
      <c r="C153" s="117">
        <v>117</v>
      </c>
      <c r="D153" s="136" t="s">
        <v>650</v>
      </c>
      <c r="E153" s="136" t="s">
        <v>203</v>
      </c>
      <c r="F153" s="136">
        <v>80</v>
      </c>
      <c r="G153" s="136" t="s">
        <v>202</v>
      </c>
      <c r="H153" s="136">
        <v>0</v>
      </c>
      <c r="I153" s="136">
        <v>0</v>
      </c>
      <c r="K153" s="90" t="str">
        <f t="shared" si="11"/>
        <v>E80F</v>
      </c>
      <c r="L153" s="90"/>
      <c r="M153" s="90"/>
      <c r="N153" s="90"/>
      <c r="O153" s="90"/>
      <c r="P153" s="90"/>
    </row>
    <row r="154" spans="3:16" x14ac:dyDescent="0.3">
      <c r="C154" s="117">
        <v>118</v>
      </c>
      <c r="D154" s="136" t="s">
        <v>650</v>
      </c>
      <c r="E154" s="136" t="s">
        <v>68</v>
      </c>
      <c r="F154" s="136">
        <v>80</v>
      </c>
      <c r="G154" s="136" t="s">
        <v>195</v>
      </c>
      <c r="H154" s="136">
        <v>0</v>
      </c>
      <c r="I154" s="136">
        <v>0</v>
      </c>
      <c r="K154" s="90" t="str">
        <f t="shared" si="11"/>
        <v>C80M</v>
      </c>
      <c r="L154" s="90"/>
      <c r="M154" s="90"/>
      <c r="N154" s="90"/>
      <c r="O154" s="90"/>
      <c r="P154" s="90"/>
    </row>
    <row r="155" spans="3:16" x14ac:dyDescent="0.3">
      <c r="C155" s="117">
        <v>119</v>
      </c>
      <c r="D155" s="136" t="s">
        <v>650</v>
      </c>
      <c r="E155" s="136" t="s">
        <v>199</v>
      </c>
      <c r="F155" s="136">
        <v>73</v>
      </c>
      <c r="G155" s="136" t="s">
        <v>202</v>
      </c>
      <c r="H155" s="136">
        <v>0</v>
      </c>
      <c r="I155" s="136">
        <v>0</v>
      </c>
      <c r="K155" s="90" t="str">
        <f t="shared" si="11"/>
        <v>I73F</v>
      </c>
      <c r="L155" s="90"/>
      <c r="M155" s="90"/>
      <c r="N155" s="90"/>
      <c r="O155" s="90"/>
      <c r="P155" s="90"/>
    </row>
    <row r="156" spans="3:16" x14ac:dyDescent="0.3">
      <c r="C156" s="117">
        <v>120</v>
      </c>
      <c r="D156" s="136" t="s">
        <v>650</v>
      </c>
      <c r="E156" s="136" t="s">
        <v>198</v>
      </c>
      <c r="F156" s="136">
        <v>80</v>
      </c>
      <c r="G156" s="136" t="s">
        <v>195</v>
      </c>
      <c r="H156" s="136">
        <v>0</v>
      </c>
      <c r="I156" s="136">
        <v>0</v>
      </c>
      <c r="K156" s="90" t="str">
        <f t="shared" si="11"/>
        <v>J80M</v>
      </c>
      <c r="L156" s="90"/>
      <c r="M156" s="90"/>
      <c r="N156" s="90"/>
      <c r="O156" s="90"/>
      <c r="P156" s="90"/>
    </row>
    <row r="157" spans="3:16" x14ac:dyDescent="0.3">
      <c r="C157" s="117">
        <v>121</v>
      </c>
      <c r="D157" s="136" t="s">
        <v>650</v>
      </c>
      <c r="E157" s="136" t="s">
        <v>204</v>
      </c>
      <c r="F157" s="136">
        <v>74</v>
      </c>
      <c r="G157" s="136" t="s">
        <v>202</v>
      </c>
      <c r="H157" s="136">
        <v>1</v>
      </c>
      <c r="I157" s="136">
        <v>2</v>
      </c>
      <c r="K157" s="90" t="str">
        <f t="shared" si="11"/>
        <v>D74F</v>
      </c>
      <c r="L157" s="90"/>
      <c r="M157" s="90"/>
      <c r="N157" s="90"/>
      <c r="O157" s="90"/>
      <c r="P157" s="90"/>
    </row>
    <row r="158" spans="3:16" x14ac:dyDescent="0.3">
      <c r="C158" s="117">
        <v>122</v>
      </c>
      <c r="D158" s="136" t="s">
        <v>650</v>
      </c>
      <c r="E158" s="136" t="s">
        <v>198</v>
      </c>
      <c r="F158" s="136">
        <v>65</v>
      </c>
      <c r="G158" s="136" t="s">
        <v>195</v>
      </c>
      <c r="H158" s="136">
        <v>0</v>
      </c>
      <c r="I158" s="136">
        <v>0</v>
      </c>
      <c r="K158" s="90" t="str">
        <f t="shared" si="11"/>
        <v>J65M</v>
      </c>
      <c r="L158" s="90"/>
      <c r="M158" s="90"/>
      <c r="N158" s="90"/>
      <c r="O158" s="90"/>
      <c r="P158" s="90"/>
    </row>
    <row r="159" spans="3:16" x14ac:dyDescent="0.3">
      <c r="C159" s="117">
        <v>123</v>
      </c>
      <c r="D159" s="136" t="s">
        <v>650</v>
      </c>
      <c r="E159" s="136" t="s">
        <v>203</v>
      </c>
      <c r="F159" s="136">
        <v>67</v>
      </c>
      <c r="G159" s="136" t="s">
        <v>202</v>
      </c>
      <c r="H159" s="136">
        <v>1</v>
      </c>
      <c r="I159" s="136">
        <v>1</v>
      </c>
      <c r="K159" s="90" t="str">
        <f t="shared" si="11"/>
        <v>E67F</v>
      </c>
      <c r="L159" s="90"/>
      <c r="M159" s="90"/>
      <c r="N159" s="90"/>
      <c r="O159" s="90"/>
      <c r="P159" s="90"/>
    </row>
    <row r="160" spans="3:16" x14ac:dyDescent="0.3">
      <c r="C160" s="117">
        <v>124</v>
      </c>
      <c r="D160" s="136" t="s">
        <v>650</v>
      </c>
      <c r="E160" s="136" t="s">
        <v>199</v>
      </c>
      <c r="F160" s="136">
        <v>73</v>
      </c>
      <c r="G160" s="136" t="s">
        <v>195</v>
      </c>
      <c r="H160" s="136">
        <v>1</v>
      </c>
      <c r="I160" s="136">
        <v>1</v>
      </c>
      <c r="K160" s="90" t="str">
        <f t="shared" si="11"/>
        <v>I73M</v>
      </c>
      <c r="L160" s="90"/>
      <c r="M160" s="90"/>
      <c r="N160" s="90"/>
      <c r="O160" s="90"/>
      <c r="P160" s="90"/>
    </row>
    <row r="161" spans="3:16" x14ac:dyDescent="0.3">
      <c r="C161" s="117">
        <v>125</v>
      </c>
      <c r="D161" s="136" t="s">
        <v>650</v>
      </c>
      <c r="E161" s="136" t="s">
        <v>202</v>
      </c>
      <c r="F161" s="136">
        <v>73</v>
      </c>
      <c r="G161" s="136" t="s">
        <v>202</v>
      </c>
      <c r="H161" s="136">
        <v>0</v>
      </c>
      <c r="I161" s="136">
        <v>0</v>
      </c>
      <c r="K161" s="90" t="str">
        <f t="shared" si="11"/>
        <v>F73F</v>
      </c>
      <c r="L161" s="90"/>
      <c r="M161" s="90"/>
      <c r="N161" s="90"/>
      <c r="O161" s="90"/>
      <c r="P161" s="90"/>
    </row>
    <row r="162" spans="3:16" x14ac:dyDescent="0.3">
      <c r="C162" s="117">
        <v>126</v>
      </c>
      <c r="D162" s="136" t="s">
        <v>650</v>
      </c>
      <c r="E162" s="136" t="s">
        <v>202</v>
      </c>
      <c r="F162" s="136">
        <v>71</v>
      </c>
      <c r="G162" s="136" t="s">
        <v>202</v>
      </c>
      <c r="H162" s="136">
        <v>0</v>
      </c>
      <c r="I162" s="136">
        <v>0</v>
      </c>
      <c r="K162" s="90" t="str">
        <f t="shared" si="11"/>
        <v>F71F</v>
      </c>
      <c r="L162" s="90"/>
      <c r="M162" s="90"/>
      <c r="N162" s="90"/>
      <c r="O162" s="90"/>
      <c r="P162" s="90"/>
    </row>
    <row r="163" spans="3:16" x14ac:dyDescent="0.3">
      <c r="C163" s="117">
        <v>127</v>
      </c>
      <c r="D163" s="136" t="s">
        <v>650</v>
      </c>
      <c r="E163" s="136" t="s">
        <v>199</v>
      </c>
      <c r="F163" s="136">
        <v>69</v>
      </c>
      <c r="G163" s="136" t="s">
        <v>195</v>
      </c>
      <c r="H163" s="136">
        <v>0</v>
      </c>
      <c r="I163" s="136">
        <v>0</v>
      </c>
      <c r="K163" s="90" t="str">
        <f t="shared" si="11"/>
        <v>I69M</v>
      </c>
      <c r="L163" s="90"/>
      <c r="M163" s="90"/>
      <c r="N163" s="90"/>
      <c r="O163" s="90"/>
      <c r="P163" s="90"/>
    </row>
    <row r="164" spans="3:16" x14ac:dyDescent="0.3">
      <c r="C164" s="117">
        <v>128</v>
      </c>
      <c r="D164" s="136" t="s">
        <v>650</v>
      </c>
      <c r="E164" s="136" t="s">
        <v>203</v>
      </c>
      <c r="F164" s="136">
        <v>76</v>
      </c>
      <c r="G164" s="136" t="s">
        <v>202</v>
      </c>
      <c r="H164" s="136">
        <v>0</v>
      </c>
      <c r="I164" s="136">
        <v>0</v>
      </c>
      <c r="K164" s="90" t="str">
        <f t="shared" si="11"/>
        <v>E76F</v>
      </c>
      <c r="L164" s="90"/>
      <c r="M164" s="90"/>
      <c r="N164" s="90"/>
      <c r="O164" s="90"/>
      <c r="P164" s="90"/>
    </row>
    <row r="165" spans="3:16" x14ac:dyDescent="0.3">
      <c r="C165" s="117">
        <v>129</v>
      </c>
      <c r="D165" s="136" t="s">
        <v>650</v>
      </c>
      <c r="E165" s="136" t="s">
        <v>70</v>
      </c>
      <c r="F165" s="136">
        <v>72</v>
      </c>
      <c r="G165" s="136" t="s">
        <v>202</v>
      </c>
      <c r="H165" s="136">
        <v>0</v>
      </c>
      <c r="I165" s="136">
        <v>0</v>
      </c>
      <c r="K165" s="90" t="str">
        <f t="shared" ref="K165:K228" si="12">E165&amp;F165&amp;G165</f>
        <v>A72F</v>
      </c>
      <c r="L165" s="90"/>
      <c r="M165" s="90"/>
      <c r="N165" s="90"/>
      <c r="O165" s="90"/>
      <c r="P165" s="90"/>
    </row>
    <row r="166" spans="3:16" x14ac:dyDescent="0.3">
      <c r="C166" s="117">
        <v>130</v>
      </c>
      <c r="D166" s="136" t="s">
        <v>650</v>
      </c>
      <c r="E166" s="136" t="s">
        <v>201</v>
      </c>
      <c r="F166" s="136">
        <v>78</v>
      </c>
      <c r="G166" s="136" t="s">
        <v>195</v>
      </c>
      <c r="H166" s="136">
        <v>0</v>
      </c>
      <c r="I166" s="136">
        <v>0</v>
      </c>
      <c r="K166" s="90" t="str">
        <f t="shared" si="12"/>
        <v>G78M</v>
      </c>
      <c r="L166" s="90"/>
      <c r="M166" s="90"/>
      <c r="N166" s="90"/>
      <c r="O166" s="90"/>
      <c r="P166" s="90"/>
    </row>
    <row r="167" spans="3:16" x14ac:dyDescent="0.3">
      <c r="C167" s="117">
        <v>131</v>
      </c>
      <c r="D167" s="136" t="s">
        <v>650</v>
      </c>
      <c r="E167" s="136" t="s">
        <v>201</v>
      </c>
      <c r="F167" s="136">
        <v>78</v>
      </c>
      <c r="G167" s="136" t="s">
        <v>202</v>
      </c>
      <c r="H167" s="136">
        <v>1</v>
      </c>
      <c r="I167" s="136">
        <v>0</v>
      </c>
      <c r="K167" s="90" t="str">
        <f t="shared" si="12"/>
        <v>G78F</v>
      </c>
      <c r="L167" s="90"/>
      <c r="M167" s="90"/>
      <c r="N167" s="90"/>
      <c r="O167" s="90"/>
      <c r="P167" s="90"/>
    </row>
    <row r="168" spans="3:16" x14ac:dyDescent="0.3">
      <c r="C168" s="117">
        <v>132</v>
      </c>
      <c r="D168" s="136" t="s">
        <v>650</v>
      </c>
      <c r="E168" s="136" t="s">
        <v>198</v>
      </c>
      <c r="F168" s="136">
        <v>71</v>
      </c>
      <c r="G168" s="136" t="s">
        <v>202</v>
      </c>
      <c r="H168" s="136">
        <v>0</v>
      </c>
      <c r="I168" s="136">
        <v>1</v>
      </c>
      <c r="K168" s="90" t="str">
        <f t="shared" si="12"/>
        <v>J71F</v>
      </c>
      <c r="L168" s="90"/>
      <c r="M168" s="90"/>
      <c r="N168" s="90"/>
      <c r="O168" s="90"/>
      <c r="P168" s="90"/>
    </row>
    <row r="169" spans="3:16" x14ac:dyDescent="0.3">
      <c r="C169" s="117">
        <v>133</v>
      </c>
      <c r="D169" s="136" t="s">
        <v>650</v>
      </c>
      <c r="E169" s="136" t="s">
        <v>203</v>
      </c>
      <c r="F169" s="136">
        <v>75</v>
      </c>
      <c r="G169" s="136" t="s">
        <v>202</v>
      </c>
      <c r="H169" s="136">
        <v>0</v>
      </c>
      <c r="I169" s="136">
        <v>0</v>
      </c>
      <c r="K169" s="90" t="str">
        <f t="shared" si="12"/>
        <v>E75F</v>
      </c>
      <c r="L169" s="90"/>
      <c r="M169" s="90"/>
      <c r="N169" s="90"/>
      <c r="O169" s="90"/>
      <c r="P169" s="90"/>
    </row>
    <row r="170" spans="3:16" x14ac:dyDescent="0.3">
      <c r="C170" s="117">
        <v>134</v>
      </c>
      <c r="D170" s="136" t="s">
        <v>650</v>
      </c>
      <c r="E170" s="136" t="s">
        <v>199</v>
      </c>
      <c r="F170" s="136">
        <v>79</v>
      </c>
      <c r="G170" s="136" t="s">
        <v>202</v>
      </c>
      <c r="H170" s="136">
        <v>1</v>
      </c>
      <c r="I170" s="136">
        <v>2</v>
      </c>
      <c r="K170" s="90" t="str">
        <f t="shared" si="12"/>
        <v>I79F</v>
      </c>
      <c r="L170" s="90"/>
      <c r="M170" s="90"/>
      <c r="N170" s="90"/>
      <c r="O170" s="90"/>
      <c r="P170" s="90"/>
    </row>
    <row r="171" spans="3:16" x14ac:dyDescent="0.3">
      <c r="C171" s="117">
        <v>135</v>
      </c>
      <c r="D171" s="136" t="s">
        <v>650</v>
      </c>
      <c r="E171" s="136" t="s">
        <v>69</v>
      </c>
      <c r="F171" s="136">
        <v>69</v>
      </c>
      <c r="G171" s="136" t="s">
        <v>202</v>
      </c>
      <c r="H171" s="136">
        <v>0</v>
      </c>
      <c r="I171" s="136">
        <v>0</v>
      </c>
      <c r="K171" s="90" t="str">
        <f t="shared" si="12"/>
        <v>B69F</v>
      </c>
      <c r="L171" s="90"/>
      <c r="M171" s="90"/>
      <c r="N171" s="90"/>
      <c r="O171" s="90"/>
      <c r="P171" s="90"/>
    </row>
    <row r="172" spans="3:16" x14ac:dyDescent="0.3">
      <c r="C172" s="117">
        <v>136</v>
      </c>
      <c r="D172" s="136" t="s">
        <v>650</v>
      </c>
      <c r="E172" s="136" t="s">
        <v>70</v>
      </c>
      <c r="F172" s="136">
        <v>80</v>
      </c>
      <c r="G172" s="136" t="s">
        <v>202</v>
      </c>
      <c r="H172" s="136">
        <v>0</v>
      </c>
      <c r="I172" s="136">
        <v>0</v>
      </c>
      <c r="K172" s="90" t="str">
        <f t="shared" si="12"/>
        <v>A80F</v>
      </c>
      <c r="L172" s="90"/>
      <c r="M172" s="90"/>
      <c r="N172" s="90"/>
      <c r="O172" s="90"/>
      <c r="P172" s="90"/>
    </row>
    <row r="173" spans="3:16" x14ac:dyDescent="0.3">
      <c r="C173" s="117">
        <v>137</v>
      </c>
      <c r="D173" s="136" t="s">
        <v>650</v>
      </c>
      <c r="E173" s="136" t="s">
        <v>200</v>
      </c>
      <c r="F173" s="136">
        <v>69</v>
      </c>
      <c r="G173" s="136" t="s">
        <v>195</v>
      </c>
      <c r="H173" s="136">
        <v>0</v>
      </c>
      <c r="I173" s="136">
        <v>0</v>
      </c>
      <c r="K173" s="90" t="str">
        <f t="shared" si="12"/>
        <v>H69M</v>
      </c>
      <c r="L173" s="90"/>
      <c r="M173" s="90"/>
      <c r="N173" s="90"/>
      <c r="O173" s="90"/>
      <c r="P173" s="90"/>
    </row>
    <row r="174" spans="3:16" x14ac:dyDescent="0.3">
      <c r="C174" s="117">
        <v>138</v>
      </c>
      <c r="D174" s="136" t="s">
        <v>650</v>
      </c>
      <c r="E174" s="136" t="s">
        <v>68</v>
      </c>
      <c r="F174" s="136">
        <v>73</v>
      </c>
      <c r="G174" s="136" t="s">
        <v>195</v>
      </c>
      <c r="H174" s="136">
        <v>0</v>
      </c>
      <c r="I174" s="136">
        <v>0</v>
      </c>
      <c r="K174" s="90" t="str">
        <f t="shared" si="12"/>
        <v>C73M</v>
      </c>
      <c r="L174" s="90"/>
      <c r="M174" s="90"/>
      <c r="N174" s="90"/>
      <c r="O174" s="90"/>
      <c r="P174" s="90"/>
    </row>
    <row r="175" spans="3:16" x14ac:dyDescent="0.3">
      <c r="C175" s="117">
        <v>139</v>
      </c>
      <c r="D175" s="136" t="s">
        <v>650</v>
      </c>
      <c r="E175" s="136" t="s">
        <v>202</v>
      </c>
      <c r="F175" s="136">
        <v>74</v>
      </c>
      <c r="G175" s="136" t="s">
        <v>202</v>
      </c>
      <c r="H175" s="136">
        <v>0</v>
      </c>
      <c r="I175" s="136">
        <v>0</v>
      </c>
      <c r="K175" s="90" t="str">
        <f t="shared" si="12"/>
        <v>F74F</v>
      </c>
      <c r="L175" s="90"/>
      <c r="M175" s="90"/>
      <c r="N175" s="90"/>
      <c r="O175" s="90"/>
      <c r="P175" s="90"/>
    </row>
    <row r="176" spans="3:16" x14ac:dyDescent="0.3">
      <c r="C176" s="117">
        <v>140</v>
      </c>
      <c r="D176" s="136" t="s">
        <v>650</v>
      </c>
      <c r="E176" s="136" t="s">
        <v>199</v>
      </c>
      <c r="F176" s="136">
        <v>72</v>
      </c>
      <c r="G176" s="136" t="s">
        <v>202</v>
      </c>
      <c r="H176" s="136">
        <v>1</v>
      </c>
      <c r="I176" s="136">
        <v>0</v>
      </c>
      <c r="K176" s="90" t="str">
        <f t="shared" si="12"/>
        <v>I72F</v>
      </c>
      <c r="L176" s="90"/>
      <c r="M176" s="90"/>
      <c r="N176" s="90"/>
      <c r="O176" s="90"/>
      <c r="P176" s="90"/>
    </row>
    <row r="177" spans="3:16" x14ac:dyDescent="0.3">
      <c r="C177" s="117">
        <v>141</v>
      </c>
      <c r="D177" s="136" t="s">
        <v>650</v>
      </c>
      <c r="E177" s="136" t="s">
        <v>203</v>
      </c>
      <c r="F177" s="136">
        <v>76</v>
      </c>
      <c r="G177" s="136" t="s">
        <v>195</v>
      </c>
      <c r="H177" s="136">
        <v>2</v>
      </c>
      <c r="I177" s="136">
        <v>2</v>
      </c>
      <c r="K177" s="90" t="str">
        <f t="shared" si="12"/>
        <v>E76M</v>
      </c>
      <c r="L177" s="90"/>
      <c r="M177" s="90"/>
      <c r="N177" s="90"/>
      <c r="O177" s="90"/>
      <c r="P177" s="90"/>
    </row>
    <row r="178" spans="3:16" x14ac:dyDescent="0.3">
      <c r="C178" s="117">
        <v>142</v>
      </c>
      <c r="D178" s="136" t="s">
        <v>650</v>
      </c>
      <c r="E178" s="136" t="s">
        <v>201</v>
      </c>
      <c r="F178" s="136">
        <v>77</v>
      </c>
      <c r="G178" s="136" t="s">
        <v>195</v>
      </c>
      <c r="H178" s="136">
        <v>0</v>
      </c>
      <c r="I178" s="136">
        <v>0</v>
      </c>
      <c r="K178" s="90" t="str">
        <f t="shared" si="12"/>
        <v>G77M</v>
      </c>
      <c r="L178" s="90"/>
      <c r="M178" s="90"/>
      <c r="N178" s="90"/>
      <c r="O178" s="90"/>
      <c r="P178" s="90"/>
    </row>
    <row r="179" spans="3:16" x14ac:dyDescent="0.3">
      <c r="C179" s="117">
        <v>143</v>
      </c>
      <c r="D179" s="136" t="s">
        <v>650</v>
      </c>
      <c r="E179" s="136" t="s">
        <v>70</v>
      </c>
      <c r="F179" s="136">
        <v>76</v>
      </c>
      <c r="G179" s="136" t="s">
        <v>202</v>
      </c>
      <c r="H179" s="136">
        <v>0</v>
      </c>
      <c r="I179" s="136">
        <v>0</v>
      </c>
      <c r="K179" s="90" t="str">
        <f t="shared" si="12"/>
        <v>A76F</v>
      </c>
      <c r="L179" s="90"/>
      <c r="M179" s="90"/>
      <c r="N179" s="90"/>
      <c r="O179" s="90"/>
      <c r="P179" s="90"/>
    </row>
    <row r="180" spans="3:16" x14ac:dyDescent="0.3">
      <c r="C180" s="117">
        <v>144</v>
      </c>
      <c r="D180" s="136" t="s">
        <v>650</v>
      </c>
      <c r="E180" s="136" t="s">
        <v>202</v>
      </c>
      <c r="F180" s="136">
        <v>68</v>
      </c>
      <c r="G180" s="136" t="s">
        <v>202</v>
      </c>
      <c r="H180" s="136">
        <v>1</v>
      </c>
      <c r="I180" s="136">
        <v>1</v>
      </c>
      <c r="K180" s="90" t="str">
        <f t="shared" si="12"/>
        <v>F68F</v>
      </c>
      <c r="L180" s="90"/>
      <c r="M180" s="90"/>
      <c r="N180" s="90"/>
      <c r="O180" s="90"/>
      <c r="P180" s="90"/>
    </row>
    <row r="181" spans="3:16" x14ac:dyDescent="0.3">
      <c r="C181" s="117">
        <v>145</v>
      </c>
      <c r="D181" s="136" t="s">
        <v>650</v>
      </c>
      <c r="E181" s="136" t="s">
        <v>204</v>
      </c>
      <c r="F181" s="136">
        <v>80</v>
      </c>
      <c r="G181" s="136" t="s">
        <v>202</v>
      </c>
      <c r="H181" s="136">
        <v>0</v>
      </c>
      <c r="I181" s="136">
        <v>0</v>
      </c>
      <c r="K181" s="90" t="str">
        <f t="shared" si="12"/>
        <v>D80F</v>
      </c>
      <c r="L181" s="90"/>
      <c r="M181" s="90"/>
      <c r="N181" s="90"/>
      <c r="O181" s="90"/>
      <c r="P181" s="90"/>
    </row>
    <row r="182" spans="3:16" x14ac:dyDescent="0.3">
      <c r="C182" s="117">
        <v>146</v>
      </c>
      <c r="D182" s="136" t="s">
        <v>650</v>
      </c>
      <c r="E182" s="136" t="s">
        <v>203</v>
      </c>
      <c r="F182" s="136">
        <v>69</v>
      </c>
      <c r="G182" s="136" t="s">
        <v>202</v>
      </c>
      <c r="H182" s="136">
        <v>0</v>
      </c>
      <c r="I182" s="136">
        <v>0</v>
      </c>
      <c r="K182" s="90" t="str">
        <f t="shared" si="12"/>
        <v>E69F</v>
      </c>
      <c r="L182" s="90"/>
      <c r="M182" s="90"/>
      <c r="N182" s="90"/>
      <c r="O182" s="90"/>
      <c r="P182" s="90"/>
    </row>
    <row r="183" spans="3:16" x14ac:dyDescent="0.3">
      <c r="C183" s="117">
        <v>147</v>
      </c>
      <c r="D183" s="136" t="s">
        <v>650</v>
      </c>
      <c r="E183" s="136" t="s">
        <v>201</v>
      </c>
      <c r="F183" s="136">
        <v>65</v>
      </c>
      <c r="G183" s="136" t="s">
        <v>202</v>
      </c>
      <c r="H183" s="136">
        <v>0</v>
      </c>
      <c r="I183" s="136">
        <v>2</v>
      </c>
      <c r="K183" s="90" t="str">
        <f t="shared" si="12"/>
        <v>G65F</v>
      </c>
      <c r="L183" s="90"/>
      <c r="M183" s="90"/>
      <c r="N183" s="90"/>
      <c r="O183" s="90"/>
      <c r="P183" s="90"/>
    </row>
    <row r="184" spans="3:16" x14ac:dyDescent="0.3">
      <c r="C184" s="117">
        <v>148</v>
      </c>
      <c r="D184" s="136" t="s">
        <v>650</v>
      </c>
      <c r="E184" s="136" t="s">
        <v>199</v>
      </c>
      <c r="F184" s="136">
        <v>66</v>
      </c>
      <c r="G184" s="136" t="s">
        <v>195</v>
      </c>
      <c r="H184" s="136">
        <v>1</v>
      </c>
      <c r="I184" s="136">
        <v>1</v>
      </c>
      <c r="K184" s="90" t="str">
        <f t="shared" si="12"/>
        <v>I66M</v>
      </c>
      <c r="L184" s="90"/>
      <c r="M184" s="90"/>
      <c r="N184" s="90"/>
      <c r="O184" s="90"/>
      <c r="P184" s="90"/>
    </row>
    <row r="185" spans="3:16" x14ac:dyDescent="0.3">
      <c r="C185" s="117">
        <v>149</v>
      </c>
      <c r="D185" s="136" t="s">
        <v>650</v>
      </c>
      <c r="E185" s="136" t="s">
        <v>202</v>
      </c>
      <c r="F185" s="136">
        <v>65</v>
      </c>
      <c r="G185" s="136" t="s">
        <v>202</v>
      </c>
      <c r="H185" s="136">
        <v>0</v>
      </c>
      <c r="I185" s="136">
        <v>1</v>
      </c>
      <c r="K185" s="90" t="str">
        <f t="shared" si="12"/>
        <v>F65F</v>
      </c>
      <c r="L185" s="90"/>
      <c r="M185" s="90"/>
      <c r="N185" s="90"/>
      <c r="O185" s="90"/>
      <c r="P185" s="90"/>
    </row>
    <row r="186" spans="3:16" x14ac:dyDescent="0.3">
      <c r="C186" s="117">
        <v>150</v>
      </c>
      <c r="D186" s="136" t="s">
        <v>650</v>
      </c>
      <c r="E186" s="136" t="s">
        <v>68</v>
      </c>
      <c r="F186" s="136">
        <v>79</v>
      </c>
      <c r="G186" s="136" t="s">
        <v>202</v>
      </c>
      <c r="H186" s="136">
        <v>1</v>
      </c>
      <c r="I186" s="136">
        <v>1</v>
      </c>
      <c r="K186" s="90" t="str">
        <f t="shared" si="12"/>
        <v>C79F</v>
      </c>
      <c r="L186" s="90"/>
      <c r="M186" s="90"/>
      <c r="N186" s="90"/>
      <c r="O186" s="90"/>
      <c r="P186" s="90"/>
    </row>
    <row r="187" spans="3:16" x14ac:dyDescent="0.3">
      <c r="C187" s="117">
        <v>151</v>
      </c>
      <c r="D187" s="136" t="s">
        <v>650</v>
      </c>
      <c r="E187" s="136" t="s">
        <v>200</v>
      </c>
      <c r="F187" s="136">
        <v>76</v>
      </c>
      <c r="G187" s="136" t="s">
        <v>195</v>
      </c>
      <c r="H187" s="136">
        <v>0</v>
      </c>
      <c r="I187" s="136">
        <v>0</v>
      </c>
      <c r="K187" s="90" t="str">
        <f t="shared" si="12"/>
        <v>H76M</v>
      </c>
      <c r="L187" s="90"/>
      <c r="M187" s="90"/>
      <c r="N187" s="90"/>
      <c r="O187" s="90"/>
      <c r="P187" s="90"/>
    </row>
    <row r="188" spans="3:16" x14ac:dyDescent="0.3">
      <c r="C188" s="117">
        <v>152</v>
      </c>
      <c r="D188" s="136" t="s">
        <v>650</v>
      </c>
      <c r="E188" s="136" t="s">
        <v>201</v>
      </c>
      <c r="F188" s="136">
        <v>72</v>
      </c>
      <c r="G188" s="136" t="s">
        <v>202</v>
      </c>
      <c r="H188" s="136">
        <v>0</v>
      </c>
      <c r="I188" s="136">
        <v>0</v>
      </c>
      <c r="K188" s="90" t="str">
        <f t="shared" si="12"/>
        <v>G72F</v>
      </c>
      <c r="L188" s="90"/>
      <c r="M188" s="90"/>
      <c r="N188" s="90"/>
      <c r="O188" s="90"/>
      <c r="P188" s="90"/>
    </row>
    <row r="189" spans="3:16" x14ac:dyDescent="0.3">
      <c r="C189" s="117">
        <v>153</v>
      </c>
      <c r="D189" s="136" t="s">
        <v>650</v>
      </c>
      <c r="E189" s="136" t="s">
        <v>68</v>
      </c>
      <c r="F189" s="136">
        <v>71</v>
      </c>
      <c r="G189" s="136" t="s">
        <v>202</v>
      </c>
      <c r="H189" s="136">
        <v>2</v>
      </c>
      <c r="I189" s="136">
        <v>2</v>
      </c>
      <c r="K189" s="90" t="str">
        <f t="shared" si="12"/>
        <v>C71F</v>
      </c>
      <c r="L189" s="90"/>
      <c r="M189" s="90"/>
      <c r="N189" s="90"/>
      <c r="O189" s="90"/>
      <c r="P189" s="90"/>
    </row>
    <row r="190" spans="3:16" x14ac:dyDescent="0.3">
      <c r="C190" s="117">
        <v>154</v>
      </c>
      <c r="D190" s="136" t="s">
        <v>650</v>
      </c>
      <c r="E190" s="136" t="s">
        <v>198</v>
      </c>
      <c r="F190" s="136">
        <v>71</v>
      </c>
      <c r="G190" s="136" t="s">
        <v>202</v>
      </c>
      <c r="H190" s="136">
        <v>0</v>
      </c>
      <c r="I190" s="136">
        <v>0</v>
      </c>
      <c r="K190" s="90" t="str">
        <f t="shared" si="12"/>
        <v>J71F</v>
      </c>
      <c r="L190" s="90"/>
      <c r="M190" s="90"/>
      <c r="N190" s="90"/>
      <c r="O190" s="90"/>
      <c r="P190" s="90"/>
    </row>
    <row r="191" spans="3:16" x14ac:dyDescent="0.3">
      <c r="C191" s="117">
        <v>155</v>
      </c>
      <c r="D191" s="136" t="s">
        <v>650</v>
      </c>
      <c r="E191" s="136" t="s">
        <v>201</v>
      </c>
      <c r="F191" s="136">
        <v>69</v>
      </c>
      <c r="G191" s="136" t="s">
        <v>202</v>
      </c>
      <c r="H191" s="136">
        <v>1</v>
      </c>
      <c r="I191" s="136">
        <v>1</v>
      </c>
      <c r="K191" s="90" t="str">
        <f t="shared" si="12"/>
        <v>G69F</v>
      </c>
      <c r="L191" s="90"/>
      <c r="M191" s="90"/>
      <c r="N191" s="90"/>
      <c r="O191" s="90"/>
      <c r="P191" s="90"/>
    </row>
    <row r="192" spans="3:16" x14ac:dyDescent="0.3">
      <c r="C192" s="117">
        <v>156</v>
      </c>
      <c r="D192" s="136" t="s">
        <v>650</v>
      </c>
      <c r="E192" s="136" t="s">
        <v>199</v>
      </c>
      <c r="F192" s="136">
        <v>65</v>
      </c>
      <c r="G192" s="136" t="s">
        <v>202</v>
      </c>
      <c r="H192" s="136">
        <v>0</v>
      </c>
      <c r="I192" s="136">
        <v>0</v>
      </c>
      <c r="K192" s="90" t="str">
        <f t="shared" si="12"/>
        <v>I65F</v>
      </c>
      <c r="L192" s="90"/>
      <c r="M192" s="90"/>
      <c r="N192" s="90"/>
      <c r="O192" s="90"/>
      <c r="P192" s="90"/>
    </row>
    <row r="193" spans="3:16" x14ac:dyDescent="0.3">
      <c r="C193" s="117">
        <v>157</v>
      </c>
      <c r="D193" s="136" t="s">
        <v>650</v>
      </c>
      <c r="E193" s="136" t="s">
        <v>68</v>
      </c>
      <c r="F193" s="136">
        <v>77</v>
      </c>
      <c r="G193" s="136" t="s">
        <v>195</v>
      </c>
      <c r="H193" s="136">
        <v>1</v>
      </c>
      <c r="I193" s="136">
        <v>0</v>
      </c>
      <c r="K193" s="90" t="str">
        <f t="shared" si="12"/>
        <v>C77M</v>
      </c>
      <c r="L193" s="90"/>
      <c r="M193" s="90"/>
      <c r="N193" s="90"/>
      <c r="O193" s="90"/>
      <c r="P193" s="90"/>
    </row>
    <row r="194" spans="3:16" x14ac:dyDescent="0.3">
      <c r="C194" s="117">
        <v>158</v>
      </c>
      <c r="D194" s="136" t="s">
        <v>650</v>
      </c>
      <c r="E194" s="136" t="s">
        <v>198</v>
      </c>
      <c r="F194" s="136">
        <v>71</v>
      </c>
      <c r="G194" s="136" t="s">
        <v>195</v>
      </c>
      <c r="H194" s="136">
        <v>3</v>
      </c>
      <c r="I194" s="136">
        <v>3</v>
      </c>
      <c r="K194" s="90" t="str">
        <f t="shared" si="12"/>
        <v>J71M</v>
      </c>
      <c r="L194" s="90"/>
      <c r="M194" s="90"/>
      <c r="N194" s="90"/>
      <c r="O194" s="90"/>
      <c r="P194" s="90"/>
    </row>
    <row r="195" spans="3:16" x14ac:dyDescent="0.3">
      <c r="C195" s="117">
        <v>159</v>
      </c>
      <c r="D195" s="136" t="s">
        <v>650</v>
      </c>
      <c r="E195" s="136" t="s">
        <v>201</v>
      </c>
      <c r="F195" s="136">
        <v>68</v>
      </c>
      <c r="G195" s="136" t="s">
        <v>195</v>
      </c>
      <c r="H195" s="136">
        <v>0</v>
      </c>
      <c r="I195" s="136">
        <v>0</v>
      </c>
      <c r="K195" s="90" t="str">
        <f t="shared" si="12"/>
        <v>G68M</v>
      </c>
      <c r="L195" s="90"/>
      <c r="M195" s="90"/>
      <c r="N195" s="90"/>
      <c r="O195" s="90"/>
      <c r="P195" s="90"/>
    </row>
    <row r="196" spans="3:16" x14ac:dyDescent="0.3">
      <c r="C196" s="117">
        <v>160</v>
      </c>
      <c r="D196" s="136" t="s">
        <v>650</v>
      </c>
      <c r="E196" s="136" t="s">
        <v>199</v>
      </c>
      <c r="F196" s="136">
        <v>77</v>
      </c>
      <c r="G196" s="136" t="s">
        <v>195</v>
      </c>
      <c r="H196" s="136">
        <v>0</v>
      </c>
      <c r="I196" s="136">
        <v>0</v>
      </c>
      <c r="K196" s="90" t="str">
        <f t="shared" si="12"/>
        <v>I77M</v>
      </c>
      <c r="L196" s="90"/>
      <c r="M196" s="90"/>
      <c r="N196" s="90"/>
      <c r="O196" s="90"/>
      <c r="P196" s="90"/>
    </row>
    <row r="197" spans="3:16" x14ac:dyDescent="0.3">
      <c r="C197" s="117">
        <v>161</v>
      </c>
      <c r="D197" s="136" t="s">
        <v>650</v>
      </c>
      <c r="E197" s="136" t="s">
        <v>203</v>
      </c>
      <c r="F197" s="136">
        <v>68</v>
      </c>
      <c r="G197" s="136" t="s">
        <v>195</v>
      </c>
      <c r="H197" s="136">
        <v>0</v>
      </c>
      <c r="I197" s="136">
        <v>0</v>
      </c>
      <c r="K197" s="90" t="str">
        <f t="shared" si="12"/>
        <v>E68M</v>
      </c>
      <c r="L197" s="90"/>
      <c r="M197" s="90"/>
      <c r="N197" s="90"/>
      <c r="O197" s="90"/>
      <c r="P197" s="90"/>
    </row>
    <row r="198" spans="3:16" x14ac:dyDescent="0.3">
      <c r="C198" s="117">
        <v>162</v>
      </c>
      <c r="D198" s="136" t="s">
        <v>650</v>
      </c>
      <c r="E198" s="136" t="s">
        <v>199</v>
      </c>
      <c r="F198" s="136">
        <v>78</v>
      </c>
      <c r="G198" s="136" t="s">
        <v>195</v>
      </c>
      <c r="H198" s="136">
        <v>0</v>
      </c>
      <c r="I198" s="136">
        <v>0</v>
      </c>
      <c r="K198" s="90" t="str">
        <f t="shared" si="12"/>
        <v>I78M</v>
      </c>
      <c r="L198" s="90"/>
      <c r="M198" s="90"/>
      <c r="N198" s="90"/>
      <c r="O198" s="90"/>
      <c r="P198" s="90"/>
    </row>
    <row r="199" spans="3:16" x14ac:dyDescent="0.3">
      <c r="C199" s="117">
        <v>163</v>
      </c>
      <c r="D199" s="136" t="s">
        <v>650</v>
      </c>
      <c r="E199" s="136" t="s">
        <v>201</v>
      </c>
      <c r="F199" s="136">
        <v>80</v>
      </c>
      <c r="G199" s="136" t="s">
        <v>202</v>
      </c>
      <c r="H199" s="136">
        <v>0</v>
      </c>
      <c r="I199" s="136">
        <v>0</v>
      </c>
      <c r="K199" s="90" t="str">
        <f t="shared" si="12"/>
        <v>G80F</v>
      </c>
      <c r="L199" s="90"/>
      <c r="M199" s="90"/>
      <c r="N199" s="90"/>
      <c r="O199" s="90"/>
      <c r="P199" s="90"/>
    </row>
    <row r="200" spans="3:16" x14ac:dyDescent="0.3">
      <c r="C200" s="117">
        <v>164</v>
      </c>
      <c r="D200" s="136" t="s">
        <v>650</v>
      </c>
      <c r="E200" s="136" t="s">
        <v>200</v>
      </c>
      <c r="F200" s="136">
        <v>80</v>
      </c>
      <c r="G200" s="136" t="s">
        <v>202</v>
      </c>
      <c r="H200" s="136">
        <v>0</v>
      </c>
      <c r="I200" s="136">
        <v>0</v>
      </c>
      <c r="K200" s="90" t="str">
        <f t="shared" si="12"/>
        <v>H80F</v>
      </c>
      <c r="L200" s="90"/>
      <c r="M200" s="90"/>
      <c r="N200" s="90"/>
      <c r="O200" s="90"/>
      <c r="P200" s="90"/>
    </row>
    <row r="201" spans="3:16" x14ac:dyDescent="0.3">
      <c r="C201" s="117">
        <v>165</v>
      </c>
      <c r="D201" s="136" t="s">
        <v>650</v>
      </c>
      <c r="E201" s="136" t="s">
        <v>200</v>
      </c>
      <c r="F201" s="136">
        <v>69</v>
      </c>
      <c r="G201" s="136" t="s">
        <v>195</v>
      </c>
      <c r="H201" s="136">
        <v>2</v>
      </c>
      <c r="I201" s="136">
        <v>4</v>
      </c>
      <c r="K201" s="90" t="str">
        <f t="shared" si="12"/>
        <v>H69M</v>
      </c>
      <c r="L201" s="90"/>
      <c r="M201" s="90"/>
      <c r="N201" s="90"/>
      <c r="O201" s="90"/>
      <c r="P201" s="90"/>
    </row>
    <row r="202" spans="3:16" x14ac:dyDescent="0.3">
      <c r="C202" s="117">
        <v>166</v>
      </c>
      <c r="D202" s="136" t="s">
        <v>650</v>
      </c>
      <c r="E202" s="136" t="s">
        <v>200</v>
      </c>
      <c r="F202" s="136">
        <v>77</v>
      </c>
      <c r="G202" s="136" t="s">
        <v>202</v>
      </c>
      <c r="H202" s="136">
        <v>0</v>
      </c>
      <c r="I202" s="136">
        <v>0</v>
      </c>
      <c r="K202" s="90" t="str">
        <f t="shared" si="12"/>
        <v>H77F</v>
      </c>
      <c r="L202" s="90"/>
      <c r="M202" s="90"/>
      <c r="N202" s="90"/>
      <c r="O202" s="90"/>
      <c r="P202" s="90"/>
    </row>
    <row r="203" spans="3:16" x14ac:dyDescent="0.3">
      <c r="C203" s="117">
        <v>167</v>
      </c>
      <c r="D203" s="136" t="s">
        <v>650</v>
      </c>
      <c r="E203" s="136" t="s">
        <v>68</v>
      </c>
      <c r="F203" s="136">
        <v>65</v>
      </c>
      <c r="G203" s="136" t="s">
        <v>195</v>
      </c>
      <c r="H203" s="136">
        <v>0</v>
      </c>
      <c r="I203" s="136">
        <v>0</v>
      </c>
      <c r="K203" s="90" t="str">
        <f t="shared" si="12"/>
        <v>C65M</v>
      </c>
      <c r="L203" s="90"/>
      <c r="M203" s="90"/>
      <c r="N203" s="90"/>
      <c r="O203" s="90"/>
      <c r="P203" s="90"/>
    </row>
    <row r="204" spans="3:16" x14ac:dyDescent="0.3">
      <c r="C204" s="117">
        <v>168</v>
      </c>
      <c r="D204" s="136" t="s">
        <v>650</v>
      </c>
      <c r="E204" s="136" t="s">
        <v>203</v>
      </c>
      <c r="F204" s="136">
        <v>67</v>
      </c>
      <c r="G204" s="136" t="s">
        <v>195</v>
      </c>
      <c r="H204" s="136">
        <v>0</v>
      </c>
      <c r="I204" s="136">
        <v>0</v>
      </c>
      <c r="K204" s="90" t="str">
        <f t="shared" si="12"/>
        <v>E67M</v>
      </c>
      <c r="L204" s="90"/>
      <c r="M204" s="90"/>
      <c r="N204" s="90"/>
      <c r="O204" s="90"/>
      <c r="P204" s="90"/>
    </row>
    <row r="205" spans="3:16" x14ac:dyDescent="0.3">
      <c r="C205" s="117">
        <v>169</v>
      </c>
      <c r="D205" s="136" t="s">
        <v>650</v>
      </c>
      <c r="E205" s="136" t="s">
        <v>68</v>
      </c>
      <c r="F205" s="136">
        <v>79</v>
      </c>
      <c r="G205" s="136" t="s">
        <v>195</v>
      </c>
      <c r="H205" s="136">
        <v>1</v>
      </c>
      <c r="I205" s="136">
        <v>1</v>
      </c>
      <c r="K205" s="90" t="str">
        <f t="shared" si="12"/>
        <v>C79M</v>
      </c>
      <c r="L205" s="90"/>
      <c r="M205" s="90"/>
      <c r="N205" s="90"/>
      <c r="O205" s="90"/>
      <c r="P205" s="90"/>
    </row>
    <row r="206" spans="3:16" x14ac:dyDescent="0.3">
      <c r="C206" s="117">
        <v>170</v>
      </c>
      <c r="D206" s="136" t="s">
        <v>650</v>
      </c>
      <c r="E206" s="136" t="s">
        <v>70</v>
      </c>
      <c r="F206" s="136">
        <v>75</v>
      </c>
      <c r="G206" s="136" t="s">
        <v>202</v>
      </c>
      <c r="H206" s="136">
        <v>0</v>
      </c>
      <c r="I206" s="136">
        <v>0</v>
      </c>
      <c r="K206" s="90" t="str">
        <f t="shared" si="12"/>
        <v>A75F</v>
      </c>
      <c r="L206" s="90"/>
      <c r="M206" s="90"/>
      <c r="N206" s="90"/>
      <c r="O206" s="90"/>
      <c r="P206" s="90"/>
    </row>
    <row r="207" spans="3:16" x14ac:dyDescent="0.3">
      <c r="C207" s="117">
        <v>171</v>
      </c>
      <c r="D207" s="136" t="s">
        <v>650</v>
      </c>
      <c r="E207" s="136" t="s">
        <v>202</v>
      </c>
      <c r="F207" s="136">
        <v>67</v>
      </c>
      <c r="G207" s="136" t="s">
        <v>202</v>
      </c>
      <c r="H207" s="136">
        <v>2</v>
      </c>
      <c r="I207" s="136">
        <v>3</v>
      </c>
      <c r="K207" s="90" t="str">
        <f t="shared" si="12"/>
        <v>F67F</v>
      </c>
      <c r="L207" s="90"/>
      <c r="M207" s="90"/>
      <c r="N207" s="90"/>
      <c r="O207" s="90"/>
      <c r="P207" s="90"/>
    </row>
    <row r="208" spans="3:16" x14ac:dyDescent="0.3">
      <c r="C208" s="117">
        <v>172</v>
      </c>
      <c r="D208" s="136" t="s">
        <v>650</v>
      </c>
      <c r="E208" s="136" t="s">
        <v>204</v>
      </c>
      <c r="F208" s="136">
        <v>66</v>
      </c>
      <c r="G208" s="136" t="s">
        <v>202</v>
      </c>
      <c r="H208" s="136">
        <v>0</v>
      </c>
      <c r="I208" s="136">
        <v>0</v>
      </c>
      <c r="K208" s="90" t="str">
        <f t="shared" si="12"/>
        <v>D66F</v>
      </c>
      <c r="L208" s="90"/>
      <c r="M208" s="90"/>
      <c r="N208" s="90"/>
      <c r="O208" s="90"/>
      <c r="P208" s="90"/>
    </row>
    <row r="209" spans="3:16" x14ac:dyDescent="0.3">
      <c r="C209" s="117">
        <v>173</v>
      </c>
      <c r="D209" s="136" t="s">
        <v>650</v>
      </c>
      <c r="E209" s="136" t="s">
        <v>68</v>
      </c>
      <c r="F209" s="136">
        <v>71</v>
      </c>
      <c r="G209" s="136" t="s">
        <v>195</v>
      </c>
      <c r="H209" s="136">
        <v>0</v>
      </c>
      <c r="I209" s="136">
        <v>0</v>
      </c>
      <c r="K209" s="90" t="str">
        <f t="shared" si="12"/>
        <v>C71M</v>
      </c>
      <c r="L209" s="90"/>
      <c r="M209" s="90"/>
      <c r="N209" s="90"/>
      <c r="O209" s="90"/>
      <c r="P209" s="90"/>
    </row>
    <row r="210" spans="3:16" x14ac:dyDescent="0.3">
      <c r="C210" s="117">
        <v>174</v>
      </c>
      <c r="D210" s="136" t="s">
        <v>650</v>
      </c>
      <c r="E210" s="136" t="s">
        <v>204</v>
      </c>
      <c r="F210" s="136">
        <v>73</v>
      </c>
      <c r="G210" s="136" t="s">
        <v>202</v>
      </c>
      <c r="H210" s="136">
        <v>0</v>
      </c>
      <c r="I210" s="136">
        <v>0</v>
      </c>
      <c r="K210" s="90" t="str">
        <f t="shared" si="12"/>
        <v>D73F</v>
      </c>
      <c r="L210" s="90"/>
      <c r="M210" s="90"/>
      <c r="N210" s="90"/>
      <c r="O210" s="90"/>
      <c r="P210" s="90"/>
    </row>
    <row r="211" spans="3:16" x14ac:dyDescent="0.3">
      <c r="C211" s="117">
        <v>175</v>
      </c>
      <c r="D211" s="136" t="s">
        <v>650</v>
      </c>
      <c r="E211" s="136" t="s">
        <v>68</v>
      </c>
      <c r="F211" s="136">
        <v>80</v>
      </c>
      <c r="G211" s="136" t="s">
        <v>202</v>
      </c>
      <c r="H211" s="136">
        <v>1</v>
      </c>
      <c r="I211" s="136">
        <v>0</v>
      </c>
      <c r="K211" s="90" t="str">
        <f t="shared" si="12"/>
        <v>C80F</v>
      </c>
      <c r="L211" s="90"/>
      <c r="M211" s="90"/>
      <c r="N211" s="90"/>
      <c r="O211" s="90"/>
      <c r="P211" s="90"/>
    </row>
    <row r="212" spans="3:16" x14ac:dyDescent="0.3">
      <c r="C212" s="117">
        <v>176</v>
      </c>
      <c r="D212" s="136" t="s">
        <v>650</v>
      </c>
      <c r="E212" s="136" t="s">
        <v>198</v>
      </c>
      <c r="F212" s="136">
        <v>80</v>
      </c>
      <c r="G212" s="136" t="s">
        <v>202</v>
      </c>
      <c r="H212" s="136">
        <v>2</v>
      </c>
      <c r="I212" s="136">
        <v>3</v>
      </c>
      <c r="K212" s="90" t="str">
        <f t="shared" si="12"/>
        <v>J80F</v>
      </c>
      <c r="L212" s="90"/>
      <c r="M212" s="90"/>
      <c r="N212" s="90"/>
      <c r="O212" s="90"/>
      <c r="P212" s="90"/>
    </row>
    <row r="213" spans="3:16" x14ac:dyDescent="0.3">
      <c r="C213" s="117">
        <v>177</v>
      </c>
      <c r="D213" s="136" t="s">
        <v>650</v>
      </c>
      <c r="E213" s="136" t="s">
        <v>70</v>
      </c>
      <c r="F213" s="136">
        <v>69</v>
      </c>
      <c r="G213" s="136" t="s">
        <v>195</v>
      </c>
      <c r="H213" s="136">
        <v>0</v>
      </c>
      <c r="I213" s="136">
        <v>0</v>
      </c>
      <c r="K213" s="90" t="str">
        <f t="shared" si="12"/>
        <v>A69M</v>
      </c>
      <c r="L213" s="90"/>
      <c r="M213" s="90"/>
      <c r="N213" s="90"/>
      <c r="O213" s="90"/>
      <c r="P213" s="90"/>
    </row>
    <row r="214" spans="3:16" x14ac:dyDescent="0.3">
      <c r="C214" s="117">
        <v>178</v>
      </c>
      <c r="D214" s="136" t="s">
        <v>650</v>
      </c>
      <c r="E214" s="136" t="s">
        <v>69</v>
      </c>
      <c r="F214" s="136">
        <v>74</v>
      </c>
      <c r="G214" s="136" t="s">
        <v>202</v>
      </c>
      <c r="H214" s="136">
        <v>1</v>
      </c>
      <c r="I214" s="136">
        <v>2</v>
      </c>
      <c r="K214" s="90" t="str">
        <f t="shared" si="12"/>
        <v>B74F</v>
      </c>
      <c r="L214" s="90"/>
      <c r="M214" s="90"/>
      <c r="N214" s="90"/>
      <c r="O214" s="90"/>
      <c r="P214" s="90"/>
    </row>
    <row r="215" spans="3:16" x14ac:dyDescent="0.3">
      <c r="C215" s="117">
        <v>179</v>
      </c>
      <c r="D215" s="136" t="s">
        <v>650</v>
      </c>
      <c r="E215" s="136" t="s">
        <v>70</v>
      </c>
      <c r="F215" s="136">
        <v>65</v>
      </c>
      <c r="G215" s="136" t="s">
        <v>195</v>
      </c>
      <c r="H215" s="136">
        <v>1</v>
      </c>
      <c r="I215" s="136">
        <v>2</v>
      </c>
      <c r="K215" s="90" t="str">
        <f t="shared" si="12"/>
        <v>A65M</v>
      </c>
      <c r="L215" s="90"/>
      <c r="M215" s="90"/>
      <c r="N215" s="90"/>
      <c r="O215" s="90"/>
      <c r="P215" s="90"/>
    </row>
    <row r="216" spans="3:16" x14ac:dyDescent="0.3">
      <c r="C216" s="117">
        <v>180</v>
      </c>
      <c r="D216" s="136" t="s">
        <v>650</v>
      </c>
      <c r="E216" s="136" t="s">
        <v>199</v>
      </c>
      <c r="F216" s="136">
        <v>76</v>
      </c>
      <c r="G216" s="136" t="s">
        <v>202</v>
      </c>
      <c r="H216" s="136">
        <v>1</v>
      </c>
      <c r="I216" s="136">
        <v>0</v>
      </c>
      <c r="K216" s="90" t="str">
        <f t="shared" si="12"/>
        <v>I76F</v>
      </c>
      <c r="L216" s="90"/>
      <c r="M216" s="90"/>
      <c r="N216" s="90"/>
      <c r="O216" s="90"/>
      <c r="P216" s="90"/>
    </row>
    <row r="217" spans="3:16" x14ac:dyDescent="0.3">
      <c r="C217" s="117">
        <v>181</v>
      </c>
      <c r="D217" s="136" t="s">
        <v>650</v>
      </c>
      <c r="E217" s="136" t="s">
        <v>68</v>
      </c>
      <c r="F217" s="136">
        <v>75</v>
      </c>
      <c r="G217" s="136" t="s">
        <v>195</v>
      </c>
      <c r="H217" s="136">
        <v>1</v>
      </c>
      <c r="I217" s="136">
        <v>1</v>
      </c>
      <c r="K217" s="90" t="str">
        <f t="shared" si="12"/>
        <v>C75M</v>
      </c>
      <c r="L217" s="90"/>
      <c r="M217" s="90"/>
      <c r="N217" s="90"/>
      <c r="O217" s="90"/>
      <c r="P217" s="90"/>
    </row>
    <row r="218" spans="3:16" x14ac:dyDescent="0.3">
      <c r="C218" s="117">
        <v>182</v>
      </c>
      <c r="D218" s="136" t="s">
        <v>650</v>
      </c>
      <c r="E218" s="136" t="s">
        <v>200</v>
      </c>
      <c r="F218" s="136">
        <v>74</v>
      </c>
      <c r="G218" s="136" t="s">
        <v>202</v>
      </c>
      <c r="H218" s="136">
        <v>0</v>
      </c>
      <c r="I218" s="136">
        <v>3</v>
      </c>
      <c r="K218" s="90" t="str">
        <f t="shared" si="12"/>
        <v>H74F</v>
      </c>
      <c r="L218" s="90"/>
      <c r="M218" s="90"/>
      <c r="N218" s="90"/>
      <c r="O218" s="90"/>
      <c r="P218" s="90"/>
    </row>
    <row r="219" spans="3:16" x14ac:dyDescent="0.3">
      <c r="C219" s="117">
        <v>183</v>
      </c>
      <c r="D219" s="136" t="s">
        <v>650</v>
      </c>
      <c r="E219" s="136" t="s">
        <v>199</v>
      </c>
      <c r="F219" s="136">
        <v>67</v>
      </c>
      <c r="G219" s="136" t="s">
        <v>195</v>
      </c>
      <c r="H219" s="136">
        <v>0</v>
      </c>
      <c r="I219" s="136">
        <v>0</v>
      </c>
      <c r="K219" s="90" t="str">
        <f t="shared" si="12"/>
        <v>I67M</v>
      </c>
      <c r="L219" s="90"/>
      <c r="M219" s="90"/>
      <c r="N219" s="90"/>
      <c r="O219" s="90"/>
      <c r="P219" s="90"/>
    </row>
    <row r="220" spans="3:16" x14ac:dyDescent="0.3">
      <c r="C220" s="117">
        <v>184</v>
      </c>
      <c r="D220" s="136" t="s">
        <v>650</v>
      </c>
      <c r="E220" s="136" t="s">
        <v>198</v>
      </c>
      <c r="F220" s="136">
        <v>72</v>
      </c>
      <c r="G220" s="136" t="s">
        <v>202</v>
      </c>
      <c r="H220" s="136">
        <v>0</v>
      </c>
      <c r="I220" s="136">
        <v>2</v>
      </c>
      <c r="K220" s="90" t="str">
        <f t="shared" si="12"/>
        <v>J72F</v>
      </c>
      <c r="L220" s="90"/>
      <c r="M220" s="90"/>
      <c r="N220" s="90"/>
      <c r="O220" s="90"/>
      <c r="P220" s="90"/>
    </row>
    <row r="221" spans="3:16" x14ac:dyDescent="0.3">
      <c r="C221" s="117">
        <v>185</v>
      </c>
      <c r="D221" s="136" t="s">
        <v>650</v>
      </c>
      <c r="E221" s="136" t="s">
        <v>69</v>
      </c>
      <c r="F221" s="136">
        <v>74</v>
      </c>
      <c r="G221" s="136" t="s">
        <v>195</v>
      </c>
      <c r="H221" s="136">
        <v>0</v>
      </c>
      <c r="I221" s="136">
        <v>0</v>
      </c>
      <c r="K221" s="90" t="str">
        <f t="shared" si="12"/>
        <v>B74M</v>
      </c>
      <c r="L221" s="90"/>
      <c r="M221" s="90"/>
      <c r="N221" s="90"/>
      <c r="O221" s="90"/>
      <c r="P221" s="90"/>
    </row>
    <row r="222" spans="3:16" x14ac:dyDescent="0.3">
      <c r="C222" s="117">
        <v>186</v>
      </c>
      <c r="D222" s="136" t="s">
        <v>650</v>
      </c>
      <c r="E222" s="136" t="s">
        <v>199</v>
      </c>
      <c r="F222" s="136">
        <v>70</v>
      </c>
      <c r="G222" s="136" t="s">
        <v>195</v>
      </c>
      <c r="H222" s="136">
        <v>2</v>
      </c>
      <c r="I222" s="136">
        <v>0</v>
      </c>
      <c r="K222" s="90" t="str">
        <f t="shared" si="12"/>
        <v>I70M</v>
      </c>
      <c r="L222" s="90"/>
      <c r="M222" s="90"/>
      <c r="N222" s="90"/>
      <c r="O222" s="90"/>
      <c r="P222" s="90"/>
    </row>
    <row r="223" spans="3:16" x14ac:dyDescent="0.3">
      <c r="C223" s="117">
        <v>187</v>
      </c>
      <c r="D223" s="136" t="s">
        <v>650</v>
      </c>
      <c r="E223" s="136" t="s">
        <v>201</v>
      </c>
      <c r="F223" s="136">
        <v>76</v>
      </c>
      <c r="G223" s="136" t="s">
        <v>202</v>
      </c>
      <c r="H223" s="136">
        <v>0</v>
      </c>
      <c r="I223" s="136">
        <v>0</v>
      </c>
      <c r="K223" s="90" t="str">
        <f t="shared" si="12"/>
        <v>G76F</v>
      </c>
      <c r="L223" s="90"/>
      <c r="M223" s="90"/>
      <c r="N223" s="90"/>
      <c r="O223" s="90"/>
      <c r="P223" s="90"/>
    </row>
    <row r="224" spans="3:16" x14ac:dyDescent="0.3">
      <c r="C224" s="117">
        <v>188</v>
      </c>
      <c r="D224" s="136" t="s">
        <v>650</v>
      </c>
      <c r="E224" s="136" t="s">
        <v>202</v>
      </c>
      <c r="F224" s="136">
        <v>71</v>
      </c>
      <c r="G224" s="136" t="s">
        <v>195</v>
      </c>
      <c r="H224" s="136">
        <v>0</v>
      </c>
      <c r="I224" s="136">
        <v>0</v>
      </c>
      <c r="K224" s="90" t="str">
        <f t="shared" si="12"/>
        <v>F71M</v>
      </c>
      <c r="L224" s="90"/>
      <c r="M224" s="90"/>
      <c r="N224" s="90"/>
      <c r="O224" s="90"/>
      <c r="P224" s="90"/>
    </row>
    <row r="225" spans="3:16" x14ac:dyDescent="0.3">
      <c r="C225" s="117">
        <v>189</v>
      </c>
      <c r="D225" s="136" t="s">
        <v>650</v>
      </c>
      <c r="E225" s="136" t="s">
        <v>199</v>
      </c>
      <c r="F225" s="136">
        <v>65</v>
      </c>
      <c r="G225" s="136" t="s">
        <v>202</v>
      </c>
      <c r="H225" s="136">
        <v>0</v>
      </c>
      <c r="I225" s="136">
        <v>0</v>
      </c>
      <c r="K225" s="90" t="str">
        <f t="shared" si="12"/>
        <v>I65F</v>
      </c>
      <c r="L225" s="90"/>
      <c r="M225" s="90"/>
      <c r="N225" s="90"/>
      <c r="O225" s="90"/>
      <c r="P225" s="90"/>
    </row>
    <row r="226" spans="3:16" x14ac:dyDescent="0.3">
      <c r="C226" s="117">
        <v>190</v>
      </c>
      <c r="D226" s="136" t="s">
        <v>650</v>
      </c>
      <c r="E226" s="136" t="s">
        <v>70</v>
      </c>
      <c r="F226" s="136">
        <v>67</v>
      </c>
      <c r="G226" s="136" t="s">
        <v>195</v>
      </c>
      <c r="H226" s="136">
        <v>0</v>
      </c>
      <c r="I226" s="136">
        <v>1</v>
      </c>
      <c r="K226" s="90" t="str">
        <f t="shared" si="12"/>
        <v>A67M</v>
      </c>
      <c r="L226" s="90"/>
      <c r="M226" s="90"/>
      <c r="N226" s="90"/>
      <c r="O226" s="90"/>
      <c r="P226" s="90"/>
    </row>
    <row r="227" spans="3:16" x14ac:dyDescent="0.3">
      <c r="C227" s="117">
        <v>191</v>
      </c>
      <c r="D227" s="136" t="s">
        <v>650</v>
      </c>
      <c r="E227" s="136" t="s">
        <v>70</v>
      </c>
      <c r="F227" s="136">
        <v>70</v>
      </c>
      <c r="G227" s="136" t="s">
        <v>202</v>
      </c>
      <c r="H227" s="136">
        <v>1</v>
      </c>
      <c r="I227" s="136">
        <v>1</v>
      </c>
      <c r="K227" s="90" t="str">
        <f t="shared" si="12"/>
        <v>A70F</v>
      </c>
      <c r="L227" s="90"/>
      <c r="M227" s="90"/>
      <c r="N227" s="90"/>
      <c r="O227" s="90"/>
      <c r="P227" s="90"/>
    </row>
    <row r="228" spans="3:16" x14ac:dyDescent="0.3">
      <c r="C228" s="117">
        <v>192</v>
      </c>
      <c r="D228" s="136" t="s">
        <v>650</v>
      </c>
      <c r="E228" s="136" t="s">
        <v>203</v>
      </c>
      <c r="F228" s="136">
        <v>74</v>
      </c>
      <c r="G228" s="136" t="s">
        <v>202</v>
      </c>
      <c r="H228" s="136">
        <v>0</v>
      </c>
      <c r="I228" s="136">
        <v>0</v>
      </c>
      <c r="K228" s="90" t="str">
        <f t="shared" si="12"/>
        <v>E74F</v>
      </c>
      <c r="L228" s="90"/>
      <c r="M228" s="90"/>
      <c r="N228" s="90"/>
      <c r="O228" s="90"/>
      <c r="P228" s="90"/>
    </row>
    <row r="229" spans="3:16" x14ac:dyDescent="0.3">
      <c r="C229" s="117">
        <v>193</v>
      </c>
      <c r="D229" s="136" t="s">
        <v>650</v>
      </c>
      <c r="E229" s="136" t="s">
        <v>199</v>
      </c>
      <c r="F229" s="136">
        <v>73</v>
      </c>
      <c r="G229" s="136" t="s">
        <v>195</v>
      </c>
      <c r="H229" s="136">
        <v>1</v>
      </c>
      <c r="I229" s="136">
        <v>4</v>
      </c>
      <c r="K229" s="90" t="str">
        <f t="shared" ref="K229:K292" si="13">E229&amp;F229&amp;G229</f>
        <v>I73M</v>
      </c>
      <c r="L229" s="90"/>
      <c r="M229" s="90"/>
      <c r="N229" s="90"/>
      <c r="O229" s="90"/>
      <c r="P229" s="90"/>
    </row>
    <row r="230" spans="3:16" x14ac:dyDescent="0.3">
      <c r="C230" s="117">
        <v>194</v>
      </c>
      <c r="D230" s="136" t="s">
        <v>650</v>
      </c>
      <c r="E230" s="136" t="s">
        <v>68</v>
      </c>
      <c r="F230" s="136">
        <v>69</v>
      </c>
      <c r="G230" s="136" t="s">
        <v>202</v>
      </c>
      <c r="H230" s="136">
        <v>0</v>
      </c>
      <c r="I230" s="136">
        <v>0</v>
      </c>
      <c r="K230" s="90" t="str">
        <f t="shared" si="13"/>
        <v>C69F</v>
      </c>
      <c r="L230" s="90"/>
      <c r="M230" s="90"/>
      <c r="N230" s="90"/>
      <c r="O230" s="90"/>
      <c r="P230" s="90"/>
    </row>
    <row r="231" spans="3:16" x14ac:dyDescent="0.3">
      <c r="C231" s="117">
        <v>195</v>
      </c>
      <c r="D231" s="136" t="s">
        <v>650</v>
      </c>
      <c r="E231" s="136" t="s">
        <v>202</v>
      </c>
      <c r="F231" s="136">
        <v>65</v>
      </c>
      <c r="G231" s="136" t="s">
        <v>195</v>
      </c>
      <c r="H231" s="136">
        <v>0</v>
      </c>
      <c r="I231" s="136">
        <v>3</v>
      </c>
      <c r="K231" s="90" t="str">
        <f t="shared" si="13"/>
        <v>F65M</v>
      </c>
      <c r="L231" s="90"/>
      <c r="M231" s="90"/>
      <c r="N231" s="90"/>
      <c r="O231" s="90"/>
      <c r="P231" s="90"/>
    </row>
    <row r="232" spans="3:16" x14ac:dyDescent="0.3">
      <c r="C232" s="117">
        <v>196</v>
      </c>
      <c r="D232" s="136" t="s">
        <v>650</v>
      </c>
      <c r="E232" s="136" t="s">
        <v>69</v>
      </c>
      <c r="F232" s="136">
        <v>73</v>
      </c>
      <c r="G232" s="136" t="s">
        <v>202</v>
      </c>
      <c r="H232" s="136">
        <v>1</v>
      </c>
      <c r="I232" s="136">
        <v>0</v>
      </c>
      <c r="K232" s="90" t="str">
        <f t="shared" si="13"/>
        <v>B73F</v>
      </c>
      <c r="L232" s="90"/>
      <c r="M232" s="90"/>
      <c r="N232" s="90"/>
      <c r="O232" s="90"/>
      <c r="P232" s="90"/>
    </row>
    <row r="233" spans="3:16" x14ac:dyDescent="0.3">
      <c r="C233" s="117">
        <v>197</v>
      </c>
      <c r="D233" s="136" t="s">
        <v>650</v>
      </c>
      <c r="E233" s="136" t="s">
        <v>68</v>
      </c>
      <c r="F233" s="136">
        <v>80</v>
      </c>
      <c r="G233" s="136" t="s">
        <v>202</v>
      </c>
      <c r="H233" s="136">
        <v>1</v>
      </c>
      <c r="I233" s="136">
        <v>3</v>
      </c>
      <c r="K233" s="90" t="str">
        <f t="shared" si="13"/>
        <v>C80F</v>
      </c>
      <c r="L233" s="90"/>
      <c r="M233" s="90"/>
      <c r="N233" s="90"/>
      <c r="O233" s="90"/>
      <c r="P233" s="90"/>
    </row>
    <row r="234" spans="3:16" x14ac:dyDescent="0.3">
      <c r="C234" s="117">
        <v>198</v>
      </c>
      <c r="D234" s="136" t="s">
        <v>650</v>
      </c>
      <c r="E234" s="136" t="s">
        <v>200</v>
      </c>
      <c r="F234" s="136">
        <v>79</v>
      </c>
      <c r="G234" s="136" t="s">
        <v>195</v>
      </c>
      <c r="H234" s="136">
        <v>0</v>
      </c>
      <c r="I234" s="136">
        <v>0</v>
      </c>
      <c r="K234" s="90" t="str">
        <f t="shared" si="13"/>
        <v>H79M</v>
      </c>
      <c r="L234" s="90"/>
      <c r="M234" s="90"/>
      <c r="N234" s="90"/>
      <c r="O234" s="90"/>
      <c r="P234" s="90"/>
    </row>
    <row r="235" spans="3:16" x14ac:dyDescent="0.3">
      <c r="C235" s="117">
        <v>199</v>
      </c>
      <c r="D235" s="136" t="s">
        <v>650</v>
      </c>
      <c r="E235" s="136" t="s">
        <v>70</v>
      </c>
      <c r="F235" s="136">
        <v>76</v>
      </c>
      <c r="G235" s="136" t="s">
        <v>195</v>
      </c>
      <c r="H235" s="136">
        <v>0</v>
      </c>
      <c r="I235" s="136">
        <v>0</v>
      </c>
      <c r="K235" s="90" t="str">
        <f t="shared" si="13"/>
        <v>A76M</v>
      </c>
      <c r="L235" s="90"/>
      <c r="M235" s="90"/>
      <c r="N235" s="90"/>
      <c r="O235" s="90"/>
      <c r="P235" s="90"/>
    </row>
    <row r="236" spans="3:16" x14ac:dyDescent="0.3">
      <c r="C236" s="117">
        <v>200</v>
      </c>
      <c r="D236" s="136" t="s">
        <v>650</v>
      </c>
      <c r="E236" s="136" t="s">
        <v>200</v>
      </c>
      <c r="F236" s="136">
        <v>71</v>
      </c>
      <c r="G236" s="136" t="s">
        <v>202</v>
      </c>
      <c r="H236" s="136">
        <v>1</v>
      </c>
      <c r="I236" s="136">
        <v>0</v>
      </c>
      <c r="K236" s="90" t="str">
        <f t="shared" si="13"/>
        <v>H71F</v>
      </c>
      <c r="L236" s="90"/>
      <c r="M236" s="90"/>
      <c r="N236" s="90"/>
      <c r="O236" s="90"/>
      <c r="P236" s="90"/>
    </row>
    <row r="237" spans="3:16" x14ac:dyDescent="0.3">
      <c r="C237" s="117">
        <v>201</v>
      </c>
      <c r="D237" s="136" t="s">
        <v>650</v>
      </c>
      <c r="E237" s="136" t="s">
        <v>201</v>
      </c>
      <c r="F237" s="136">
        <v>73</v>
      </c>
      <c r="G237" s="136" t="s">
        <v>202</v>
      </c>
      <c r="H237" s="136">
        <v>0</v>
      </c>
      <c r="I237" s="136">
        <v>0</v>
      </c>
      <c r="K237" s="90" t="str">
        <f t="shared" si="13"/>
        <v>G73F</v>
      </c>
      <c r="L237" s="90"/>
      <c r="M237" s="90"/>
      <c r="N237" s="90"/>
      <c r="O237" s="90"/>
      <c r="P237" s="90"/>
    </row>
    <row r="238" spans="3:16" x14ac:dyDescent="0.3">
      <c r="C238" s="117">
        <v>202</v>
      </c>
      <c r="D238" s="136" t="s">
        <v>650</v>
      </c>
      <c r="E238" s="136" t="s">
        <v>68</v>
      </c>
      <c r="F238" s="136">
        <v>75</v>
      </c>
      <c r="G238" s="136" t="s">
        <v>202</v>
      </c>
      <c r="H238" s="136">
        <v>0</v>
      </c>
      <c r="I238" s="136">
        <v>0</v>
      </c>
      <c r="K238" s="90" t="str">
        <f t="shared" si="13"/>
        <v>C75F</v>
      </c>
      <c r="L238" s="90"/>
      <c r="M238" s="90"/>
      <c r="N238" s="90"/>
      <c r="O238" s="90"/>
      <c r="P238" s="90"/>
    </row>
    <row r="239" spans="3:16" x14ac:dyDescent="0.3">
      <c r="C239" s="117">
        <v>203</v>
      </c>
      <c r="D239" s="136" t="s">
        <v>650</v>
      </c>
      <c r="E239" s="136" t="s">
        <v>68</v>
      </c>
      <c r="F239" s="136">
        <v>76</v>
      </c>
      <c r="G239" s="136" t="s">
        <v>195</v>
      </c>
      <c r="H239" s="136">
        <v>0</v>
      </c>
      <c r="I239" s="136">
        <v>0</v>
      </c>
      <c r="K239" s="90" t="str">
        <f t="shared" si="13"/>
        <v>C76M</v>
      </c>
      <c r="L239" s="90"/>
      <c r="M239" s="90"/>
      <c r="N239" s="90"/>
      <c r="O239" s="90"/>
      <c r="P239" s="90"/>
    </row>
    <row r="240" spans="3:16" x14ac:dyDescent="0.3">
      <c r="C240" s="117">
        <v>204</v>
      </c>
      <c r="D240" s="136" t="s">
        <v>650</v>
      </c>
      <c r="E240" s="136" t="s">
        <v>204</v>
      </c>
      <c r="F240" s="136">
        <v>70</v>
      </c>
      <c r="G240" s="136" t="s">
        <v>202</v>
      </c>
      <c r="H240" s="136">
        <v>0</v>
      </c>
      <c r="I240" s="136">
        <v>0</v>
      </c>
      <c r="K240" s="90" t="str">
        <f t="shared" si="13"/>
        <v>D70F</v>
      </c>
      <c r="L240" s="90"/>
      <c r="M240" s="90"/>
      <c r="N240" s="90"/>
      <c r="O240" s="90"/>
      <c r="P240" s="90"/>
    </row>
    <row r="241" spans="3:16" x14ac:dyDescent="0.3">
      <c r="C241" s="117">
        <v>205</v>
      </c>
      <c r="D241" s="136" t="s">
        <v>650</v>
      </c>
      <c r="E241" s="136" t="s">
        <v>68</v>
      </c>
      <c r="F241" s="136">
        <v>68</v>
      </c>
      <c r="G241" s="136" t="s">
        <v>195</v>
      </c>
      <c r="H241" s="136">
        <v>0</v>
      </c>
      <c r="I241" s="136">
        <v>1</v>
      </c>
      <c r="K241" s="90" t="str">
        <f t="shared" si="13"/>
        <v>C68M</v>
      </c>
      <c r="L241" s="90"/>
      <c r="M241" s="90"/>
      <c r="N241" s="90"/>
      <c r="O241" s="90"/>
      <c r="P241" s="90"/>
    </row>
    <row r="242" spans="3:16" x14ac:dyDescent="0.3">
      <c r="C242" s="117">
        <v>206</v>
      </c>
      <c r="D242" s="136" t="s">
        <v>650</v>
      </c>
      <c r="E242" s="136" t="s">
        <v>203</v>
      </c>
      <c r="F242" s="136">
        <v>72</v>
      </c>
      <c r="G242" s="136" t="s">
        <v>195</v>
      </c>
      <c r="H242" s="136">
        <v>0</v>
      </c>
      <c r="I242" s="136">
        <v>0</v>
      </c>
      <c r="K242" s="90" t="str">
        <f t="shared" si="13"/>
        <v>E72M</v>
      </c>
      <c r="L242" s="90"/>
      <c r="M242" s="90"/>
      <c r="N242" s="90"/>
      <c r="O242" s="90"/>
      <c r="P242" s="90"/>
    </row>
    <row r="243" spans="3:16" x14ac:dyDescent="0.3">
      <c r="C243" s="117">
        <v>207</v>
      </c>
      <c r="D243" s="136" t="s">
        <v>650</v>
      </c>
      <c r="E243" s="136" t="s">
        <v>69</v>
      </c>
      <c r="F243" s="136">
        <v>68</v>
      </c>
      <c r="G243" s="136" t="s">
        <v>195</v>
      </c>
      <c r="H243" s="136">
        <v>0</v>
      </c>
      <c r="I243" s="136">
        <v>0</v>
      </c>
      <c r="K243" s="90" t="str">
        <f t="shared" si="13"/>
        <v>B68M</v>
      </c>
      <c r="L243" s="90"/>
      <c r="M243" s="90"/>
      <c r="N243" s="90"/>
      <c r="O243" s="90"/>
      <c r="P243" s="90"/>
    </row>
    <row r="244" spans="3:16" x14ac:dyDescent="0.3">
      <c r="C244" s="117">
        <v>208</v>
      </c>
      <c r="D244" s="136" t="s">
        <v>650</v>
      </c>
      <c r="E244" s="136" t="s">
        <v>199</v>
      </c>
      <c r="F244" s="136">
        <v>68</v>
      </c>
      <c r="G244" s="136" t="s">
        <v>202</v>
      </c>
      <c r="H244" s="136">
        <v>0</v>
      </c>
      <c r="I244" s="136">
        <v>0</v>
      </c>
      <c r="K244" s="90" t="str">
        <f t="shared" si="13"/>
        <v>I68F</v>
      </c>
      <c r="L244" s="90"/>
      <c r="M244" s="90"/>
      <c r="N244" s="90"/>
      <c r="O244" s="90"/>
      <c r="P244" s="90"/>
    </row>
    <row r="245" spans="3:16" x14ac:dyDescent="0.3">
      <c r="C245" s="117">
        <v>209</v>
      </c>
      <c r="D245" s="136" t="s">
        <v>650</v>
      </c>
      <c r="E245" s="136" t="s">
        <v>69</v>
      </c>
      <c r="F245" s="136">
        <v>72</v>
      </c>
      <c r="G245" s="136" t="s">
        <v>195</v>
      </c>
      <c r="H245" s="136">
        <v>0</v>
      </c>
      <c r="I245" s="136">
        <v>0</v>
      </c>
      <c r="K245" s="90" t="str">
        <f t="shared" si="13"/>
        <v>B72M</v>
      </c>
      <c r="L245" s="90"/>
      <c r="M245" s="90"/>
      <c r="N245" s="90"/>
      <c r="O245" s="90"/>
      <c r="P245" s="90"/>
    </row>
    <row r="246" spans="3:16" x14ac:dyDescent="0.3">
      <c r="C246" s="117">
        <v>210</v>
      </c>
      <c r="D246" s="136" t="s">
        <v>650</v>
      </c>
      <c r="E246" s="136" t="s">
        <v>70</v>
      </c>
      <c r="F246" s="136">
        <v>78</v>
      </c>
      <c r="G246" s="136" t="s">
        <v>195</v>
      </c>
      <c r="H246" s="136">
        <v>0</v>
      </c>
      <c r="I246" s="136">
        <v>0</v>
      </c>
      <c r="K246" s="90" t="str">
        <f t="shared" si="13"/>
        <v>A78M</v>
      </c>
      <c r="L246" s="90"/>
      <c r="M246" s="90"/>
      <c r="N246" s="90"/>
      <c r="O246" s="90"/>
      <c r="P246" s="90"/>
    </row>
    <row r="247" spans="3:16" x14ac:dyDescent="0.3">
      <c r="C247" s="117">
        <v>211</v>
      </c>
      <c r="D247" s="136" t="s">
        <v>650</v>
      </c>
      <c r="E247" s="136" t="s">
        <v>201</v>
      </c>
      <c r="F247" s="136">
        <v>75</v>
      </c>
      <c r="G247" s="136" t="s">
        <v>202</v>
      </c>
      <c r="H247" s="136">
        <v>0</v>
      </c>
      <c r="I247" s="136">
        <v>0</v>
      </c>
      <c r="K247" s="90" t="str">
        <f t="shared" si="13"/>
        <v>G75F</v>
      </c>
      <c r="L247" s="90"/>
      <c r="M247" s="90"/>
      <c r="N247" s="90"/>
      <c r="O247" s="90"/>
      <c r="P247" s="90"/>
    </row>
    <row r="248" spans="3:16" x14ac:dyDescent="0.3">
      <c r="C248" s="117">
        <v>212</v>
      </c>
      <c r="D248" s="136" t="s">
        <v>650</v>
      </c>
      <c r="E248" s="136" t="s">
        <v>200</v>
      </c>
      <c r="F248" s="136">
        <v>76</v>
      </c>
      <c r="G248" s="136" t="s">
        <v>202</v>
      </c>
      <c r="H248" s="136">
        <v>2</v>
      </c>
      <c r="I248" s="136">
        <v>4</v>
      </c>
      <c r="K248" s="90" t="str">
        <f t="shared" si="13"/>
        <v>H76F</v>
      </c>
      <c r="L248" s="90"/>
      <c r="M248" s="90"/>
      <c r="N248" s="90"/>
      <c r="O248" s="90"/>
      <c r="P248" s="90"/>
    </row>
    <row r="249" spans="3:16" x14ac:dyDescent="0.3">
      <c r="C249" s="117">
        <v>213</v>
      </c>
      <c r="D249" s="136" t="s">
        <v>650</v>
      </c>
      <c r="E249" s="136" t="s">
        <v>204</v>
      </c>
      <c r="F249" s="136">
        <v>70</v>
      </c>
      <c r="G249" s="136" t="s">
        <v>202</v>
      </c>
      <c r="H249" s="136">
        <v>0</v>
      </c>
      <c r="I249" s="136">
        <v>0</v>
      </c>
      <c r="K249" s="90" t="str">
        <f t="shared" si="13"/>
        <v>D70F</v>
      </c>
      <c r="L249" s="90"/>
      <c r="M249" s="90"/>
      <c r="N249" s="90"/>
      <c r="O249" s="90"/>
      <c r="P249" s="90"/>
    </row>
    <row r="250" spans="3:16" x14ac:dyDescent="0.3">
      <c r="C250" s="117">
        <v>214</v>
      </c>
      <c r="D250" s="136" t="s">
        <v>650</v>
      </c>
      <c r="E250" s="136" t="s">
        <v>198</v>
      </c>
      <c r="F250" s="136">
        <v>76</v>
      </c>
      <c r="G250" s="136" t="s">
        <v>202</v>
      </c>
      <c r="H250" s="136">
        <v>0</v>
      </c>
      <c r="I250" s="136">
        <v>0</v>
      </c>
      <c r="K250" s="90" t="str">
        <f t="shared" si="13"/>
        <v>J76F</v>
      </c>
      <c r="L250" s="90"/>
      <c r="M250" s="90"/>
      <c r="N250" s="90"/>
      <c r="O250" s="90"/>
      <c r="P250" s="90"/>
    </row>
    <row r="251" spans="3:16" x14ac:dyDescent="0.3">
      <c r="C251" s="117">
        <v>215</v>
      </c>
      <c r="D251" s="136" t="s">
        <v>650</v>
      </c>
      <c r="E251" s="136" t="s">
        <v>69</v>
      </c>
      <c r="F251" s="136">
        <v>68</v>
      </c>
      <c r="G251" s="136" t="s">
        <v>202</v>
      </c>
      <c r="H251" s="136">
        <v>0</v>
      </c>
      <c r="I251" s="136">
        <v>0</v>
      </c>
      <c r="K251" s="90" t="str">
        <f t="shared" si="13"/>
        <v>B68F</v>
      </c>
      <c r="L251" s="90"/>
      <c r="M251" s="90"/>
      <c r="N251" s="90"/>
      <c r="O251" s="90"/>
      <c r="P251" s="90"/>
    </row>
    <row r="252" spans="3:16" x14ac:dyDescent="0.3">
      <c r="C252" s="117">
        <v>216</v>
      </c>
      <c r="D252" s="136" t="s">
        <v>650</v>
      </c>
      <c r="E252" s="136" t="s">
        <v>201</v>
      </c>
      <c r="F252" s="136">
        <v>79</v>
      </c>
      <c r="G252" s="136" t="s">
        <v>195</v>
      </c>
      <c r="H252" s="136">
        <v>1</v>
      </c>
      <c r="I252" s="136">
        <v>2</v>
      </c>
      <c r="K252" s="90" t="str">
        <f t="shared" si="13"/>
        <v>G79M</v>
      </c>
      <c r="L252" s="90"/>
      <c r="M252" s="90"/>
      <c r="N252" s="90"/>
      <c r="O252" s="90"/>
      <c r="P252" s="90"/>
    </row>
    <row r="253" spans="3:16" x14ac:dyDescent="0.3">
      <c r="C253" s="117">
        <v>217</v>
      </c>
      <c r="D253" s="136" t="s">
        <v>650</v>
      </c>
      <c r="E253" s="136" t="s">
        <v>198</v>
      </c>
      <c r="F253" s="136">
        <v>72</v>
      </c>
      <c r="G253" s="136" t="s">
        <v>195</v>
      </c>
      <c r="H253" s="136">
        <v>2</v>
      </c>
      <c r="I253" s="136">
        <v>2</v>
      </c>
      <c r="K253" s="90" t="str">
        <f t="shared" si="13"/>
        <v>J72M</v>
      </c>
      <c r="L253" s="90"/>
      <c r="M253" s="90"/>
      <c r="N253" s="90"/>
      <c r="O253" s="90"/>
      <c r="P253" s="90"/>
    </row>
    <row r="254" spans="3:16" x14ac:dyDescent="0.3">
      <c r="C254" s="117">
        <v>218</v>
      </c>
      <c r="D254" s="136" t="s">
        <v>650</v>
      </c>
      <c r="E254" s="136" t="s">
        <v>68</v>
      </c>
      <c r="F254" s="136">
        <v>78</v>
      </c>
      <c r="G254" s="136" t="s">
        <v>195</v>
      </c>
      <c r="H254" s="136">
        <v>1</v>
      </c>
      <c r="I254" s="136">
        <v>0</v>
      </c>
      <c r="K254" s="90" t="str">
        <f t="shared" si="13"/>
        <v>C78M</v>
      </c>
      <c r="L254" s="90"/>
      <c r="M254" s="90"/>
      <c r="N254" s="90"/>
      <c r="O254" s="90"/>
      <c r="P254" s="90"/>
    </row>
    <row r="255" spans="3:16" x14ac:dyDescent="0.3">
      <c r="C255" s="117">
        <v>219</v>
      </c>
      <c r="D255" s="136" t="s">
        <v>650</v>
      </c>
      <c r="E255" s="136" t="s">
        <v>199</v>
      </c>
      <c r="F255" s="136">
        <v>65</v>
      </c>
      <c r="G255" s="136" t="s">
        <v>195</v>
      </c>
      <c r="H255" s="136">
        <v>0</v>
      </c>
      <c r="I255" s="136">
        <v>0</v>
      </c>
      <c r="K255" s="90" t="str">
        <f t="shared" si="13"/>
        <v>I65M</v>
      </c>
      <c r="L255" s="90"/>
      <c r="M255" s="90"/>
      <c r="N255" s="90"/>
      <c r="O255" s="90"/>
      <c r="P255" s="90"/>
    </row>
    <row r="256" spans="3:16" x14ac:dyDescent="0.3">
      <c r="C256" s="117">
        <v>220</v>
      </c>
      <c r="D256" s="136" t="s">
        <v>650</v>
      </c>
      <c r="E256" s="136" t="s">
        <v>199</v>
      </c>
      <c r="F256" s="136">
        <v>70</v>
      </c>
      <c r="G256" s="136" t="s">
        <v>202</v>
      </c>
      <c r="H256" s="136">
        <v>1</v>
      </c>
      <c r="I256" s="136">
        <v>0</v>
      </c>
      <c r="K256" s="90" t="str">
        <f t="shared" si="13"/>
        <v>I70F</v>
      </c>
      <c r="L256" s="90"/>
      <c r="M256" s="90"/>
      <c r="N256" s="90"/>
      <c r="O256" s="90"/>
      <c r="P256" s="90"/>
    </row>
    <row r="257" spans="3:16" x14ac:dyDescent="0.3">
      <c r="C257" s="117">
        <v>221</v>
      </c>
      <c r="D257" s="136" t="s">
        <v>650</v>
      </c>
      <c r="E257" s="136" t="s">
        <v>68</v>
      </c>
      <c r="F257" s="136">
        <v>79</v>
      </c>
      <c r="G257" s="136" t="s">
        <v>202</v>
      </c>
      <c r="H257" s="136">
        <v>0</v>
      </c>
      <c r="I257" s="136">
        <v>0</v>
      </c>
      <c r="K257" s="90" t="str">
        <f t="shared" si="13"/>
        <v>C79F</v>
      </c>
      <c r="L257" s="90"/>
      <c r="M257" s="90"/>
      <c r="N257" s="90"/>
      <c r="O257" s="90"/>
      <c r="P257" s="90"/>
    </row>
    <row r="258" spans="3:16" x14ac:dyDescent="0.3">
      <c r="C258" s="117">
        <v>222</v>
      </c>
      <c r="D258" s="136" t="s">
        <v>650</v>
      </c>
      <c r="E258" s="136" t="s">
        <v>200</v>
      </c>
      <c r="F258" s="136">
        <v>65</v>
      </c>
      <c r="G258" s="136" t="s">
        <v>195</v>
      </c>
      <c r="H258" s="136">
        <v>0</v>
      </c>
      <c r="I258" s="136">
        <v>0</v>
      </c>
      <c r="K258" s="90" t="str">
        <f t="shared" si="13"/>
        <v>H65M</v>
      </c>
      <c r="L258" s="90"/>
      <c r="M258" s="90"/>
      <c r="N258" s="90"/>
      <c r="O258" s="90"/>
      <c r="P258" s="90"/>
    </row>
    <row r="259" spans="3:16" x14ac:dyDescent="0.3">
      <c r="C259" s="117">
        <v>223</v>
      </c>
      <c r="D259" s="136" t="s">
        <v>650</v>
      </c>
      <c r="E259" s="136" t="s">
        <v>199</v>
      </c>
      <c r="F259" s="136">
        <v>74</v>
      </c>
      <c r="G259" s="136" t="s">
        <v>195</v>
      </c>
      <c r="H259" s="136">
        <v>0</v>
      </c>
      <c r="I259" s="136">
        <v>0</v>
      </c>
      <c r="K259" s="90" t="str">
        <f t="shared" si="13"/>
        <v>I74M</v>
      </c>
      <c r="L259" s="90"/>
      <c r="M259" s="90"/>
      <c r="N259" s="90"/>
      <c r="O259" s="90"/>
      <c r="P259" s="90"/>
    </row>
    <row r="260" spans="3:16" x14ac:dyDescent="0.3">
      <c r="C260" s="117">
        <v>224</v>
      </c>
      <c r="D260" s="136" t="s">
        <v>650</v>
      </c>
      <c r="E260" s="136" t="s">
        <v>69</v>
      </c>
      <c r="F260" s="136">
        <v>71</v>
      </c>
      <c r="G260" s="136" t="s">
        <v>195</v>
      </c>
      <c r="H260" s="136">
        <v>0</v>
      </c>
      <c r="I260" s="136">
        <v>2</v>
      </c>
      <c r="K260" s="90" t="str">
        <f t="shared" si="13"/>
        <v>B71M</v>
      </c>
      <c r="L260" s="90"/>
      <c r="M260" s="90"/>
      <c r="N260" s="90"/>
      <c r="O260" s="90"/>
      <c r="P260" s="90"/>
    </row>
    <row r="261" spans="3:16" x14ac:dyDescent="0.3">
      <c r="C261" s="117">
        <v>225</v>
      </c>
      <c r="D261" s="136" t="s">
        <v>650</v>
      </c>
      <c r="E261" s="136" t="s">
        <v>201</v>
      </c>
      <c r="F261" s="136">
        <v>75</v>
      </c>
      <c r="G261" s="136" t="s">
        <v>202</v>
      </c>
      <c r="H261" s="136">
        <v>0</v>
      </c>
      <c r="I261" s="136">
        <v>0</v>
      </c>
      <c r="K261" s="90" t="str">
        <f t="shared" si="13"/>
        <v>G75F</v>
      </c>
      <c r="L261" s="90"/>
      <c r="M261" s="90"/>
      <c r="N261" s="90"/>
      <c r="O261" s="90"/>
      <c r="P261" s="90"/>
    </row>
    <row r="262" spans="3:16" x14ac:dyDescent="0.3">
      <c r="C262" s="117">
        <v>226</v>
      </c>
      <c r="D262" s="136" t="s">
        <v>650</v>
      </c>
      <c r="E262" s="136" t="s">
        <v>198</v>
      </c>
      <c r="F262" s="136">
        <v>65</v>
      </c>
      <c r="G262" s="136" t="s">
        <v>202</v>
      </c>
      <c r="H262" s="136">
        <v>1</v>
      </c>
      <c r="I262" s="136">
        <v>0</v>
      </c>
      <c r="K262" s="90" t="str">
        <f t="shared" si="13"/>
        <v>J65F</v>
      </c>
      <c r="L262" s="90"/>
      <c r="M262" s="90"/>
      <c r="N262" s="90"/>
      <c r="O262" s="90"/>
      <c r="P262" s="90"/>
    </row>
    <row r="263" spans="3:16" x14ac:dyDescent="0.3">
      <c r="C263" s="117">
        <v>227</v>
      </c>
      <c r="D263" s="136" t="s">
        <v>650</v>
      </c>
      <c r="E263" s="136" t="s">
        <v>202</v>
      </c>
      <c r="F263" s="136">
        <v>74</v>
      </c>
      <c r="G263" s="136" t="s">
        <v>195</v>
      </c>
      <c r="H263" s="136">
        <v>1</v>
      </c>
      <c r="I263" s="136">
        <v>3</v>
      </c>
      <c r="K263" s="90" t="str">
        <f t="shared" si="13"/>
        <v>F74M</v>
      </c>
      <c r="L263" s="90"/>
      <c r="M263" s="90"/>
      <c r="N263" s="90"/>
      <c r="O263" s="90"/>
      <c r="P263" s="90"/>
    </row>
    <row r="264" spans="3:16" x14ac:dyDescent="0.3">
      <c r="C264" s="117">
        <v>228</v>
      </c>
      <c r="D264" s="136" t="s">
        <v>650</v>
      </c>
      <c r="E264" s="136" t="s">
        <v>68</v>
      </c>
      <c r="F264" s="136">
        <v>74</v>
      </c>
      <c r="G264" s="136" t="s">
        <v>202</v>
      </c>
      <c r="H264" s="136">
        <v>0</v>
      </c>
      <c r="I264" s="136">
        <v>0</v>
      </c>
      <c r="K264" s="90" t="str">
        <f t="shared" si="13"/>
        <v>C74F</v>
      </c>
      <c r="L264" s="90"/>
      <c r="M264" s="90"/>
      <c r="N264" s="90"/>
      <c r="O264" s="90"/>
      <c r="P264" s="90"/>
    </row>
    <row r="265" spans="3:16" x14ac:dyDescent="0.3">
      <c r="C265" s="117">
        <v>229</v>
      </c>
      <c r="D265" s="136" t="s">
        <v>650</v>
      </c>
      <c r="E265" s="136" t="s">
        <v>203</v>
      </c>
      <c r="F265" s="136">
        <v>77</v>
      </c>
      <c r="G265" s="136" t="s">
        <v>195</v>
      </c>
      <c r="H265" s="136">
        <v>2</v>
      </c>
      <c r="I265" s="136">
        <v>2</v>
      </c>
      <c r="K265" s="90" t="str">
        <f t="shared" si="13"/>
        <v>E77M</v>
      </c>
      <c r="L265" s="90"/>
      <c r="M265" s="90"/>
      <c r="N265" s="90"/>
      <c r="O265" s="90"/>
      <c r="P265" s="90"/>
    </row>
    <row r="266" spans="3:16" x14ac:dyDescent="0.3">
      <c r="C266" s="117">
        <v>230</v>
      </c>
      <c r="D266" s="136" t="s">
        <v>650</v>
      </c>
      <c r="E266" s="136" t="s">
        <v>204</v>
      </c>
      <c r="F266" s="136">
        <v>76</v>
      </c>
      <c r="G266" s="136" t="s">
        <v>195</v>
      </c>
      <c r="H266" s="136">
        <v>0</v>
      </c>
      <c r="I266" s="136">
        <v>0</v>
      </c>
      <c r="K266" s="90" t="str">
        <f t="shared" si="13"/>
        <v>D76M</v>
      </c>
      <c r="L266" s="90"/>
      <c r="M266" s="90"/>
      <c r="N266" s="90"/>
      <c r="O266" s="90"/>
      <c r="P266" s="90"/>
    </row>
    <row r="267" spans="3:16" x14ac:dyDescent="0.3">
      <c r="C267" s="117">
        <v>231</v>
      </c>
      <c r="D267" s="136" t="s">
        <v>650</v>
      </c>
      <c r="E267" s="136" t="s">
        <v>69</v>
      </c>
      <c r="F267" s="136">
        <v>71</v>
      </c>
      <c r="G267" s="136" t="s">
        <v>195</v>
      </c>
      <c r="H267" s="136">
        <v>0</v>
      </c>
      <c r="I267" s="136">
        <v>0</v>
      </c>
      <c r="K267" s="90" t="str">
        <f t="shared" si="13"/>
        <v>B71M</v>
      </c>
      <c r="L267" s="90"/>
      <c r="M267" s="90"/>
      <c r="N267" s="90"/>
      <c r="O267" s="90"/>
      <c r="P267" s="90"/>
    </row>
    <row r="268" spans="3:16" x14ac:dyDescent="0.3">
      <c r="C268" s="117">
        <v>232</v>
      </c>
      <c r="D268" s="136" t="s">
        <v>650</v>
      </c>
      <c r="E268" s="136" t="s">
        <v>204</v>
      </c>
      <c r="F268" s="136">
        <v>67</v>
      </c>
      <c r="G268" s="136" t="s">
        <v>202</v>
      </c>
      <c r="H268" s="136">
        <v>0</v>
      </c>
      <c r="I268" s="136">
        <v>0</v>
      </c>
      <c r="K268" s="90" t="str">
        <f t="shared" si="13"/>
        <v>D67F</v>
      </c>
      <c r="L268" s="90"/>
      <c r="M268" s="90"/>
      <c r="N268" s="90"/>
      <c r="O268" s="90"/>
      <c r="P268" s="90"/>
    </row>
    <row r="269" spans="3:16" x14ac:dyDescent="0.3">
      <c r="C269" s="117">
        <v>233</v>
      </c>
      <c r="D269" s="136" t="s">
        <v>650</v>
      </c>
      <c r="E269" s="136" t="s">
        <v>202</v>
      </c>
      <c r="F269" s="136">
        <v>66</v>
      </c>
      <c r="G269" s="136" t="s">
        <v>195</v>
      </c>
      <c r="H269" s="136">
        <v>2</v>
      </c>
      <c r="I269" s="136">
        <v>2</v>
      </c>
      <c r="K269" s="90" t="str">
        <f t="shared" si="13"/>
        <v>F66M</v>
      </c>
      <c r="L269" s="90"/>
      <c r="M269" s="90"/>
      <c r="N269" s="90"/>
      <c r="O269" s="90"/>
      <c r="P269" s="90"/>
    </row>
    <row r="270" spans="3:16" x14ac:dyDescent="0.3">
      <c r="C270" s="117">
        <v>234</v>
      </c>
      <c r="D270" s="136" t="s">
        <v>650</v>
      </c>
      <c r="E270" s="136" t="s">
        <v>201</v>
      </c>
      <c r="F270" s="136">
        <v>79</v>
      </c>
      <c r="G270" s="136" t="s">
        <v>202</v>
      </c>
      <c r="H270" s="136">
        <v>0</v>
      </c>
      <c r="I270" s="136">
        <v>0</v>
      </c>
      <c r="K270" s="90" t="str">
        <f t="shared" si="13"/>
        <v>G79F</v>
      </c>
      <c r="L270" s="90"/>
      <c r="M270" s="90"/>
      <c r="N270" s="90"/>
      <c r="O270" s="90"/>
      <c r="P270" s="90"/>
    </row>
    <row r="271" spans="3:16" x14ac:dyDescent="0.3">
      <c r="C271" s="117">
        <v>235</v>
      </c>
      <c r="D271" s="136" t="s">
        <v>650</v>
      </c>
      <c r="E271" s="136" t="s">
        <v>200</v>
      </c>
      <c r="F271" s="136">
        <v>78</v>
      </c>
      <c r="G271" s="136" t="s">
        <v>202</v>
      </c>
      <c r="H271" s="136">
        <v>0</v>
      </c>
      <c r="I271" s="136">
        <v>0</v>
      </c>
      <c r="K271" s="90" t="str">
        <f t="shared" si="13"/>
        <v>H78F</v>
      </c>
      <c r="L271" s="90"/>
      <c r="M271" s="90"/>
      <c r="N271" s="90"/>
      <c r="O271" s="90"/>
      <c r="P271" s="90"/>
    </row>
    <row r="272" spans="3:16" x14ac:dyDescent="0.3">
      <c r="C272" s="117">
        <v>236</v>
      </c>
      <c r="D272" s="136" t="s">
        <v>650</v>
      </c>
      <c r="E272" s="136" t="s">
        <v>203</v>
      </c>
      <c r="F272" s="136">
        <v>67</v>
      </c>
      <c r="G272" s="136" t="s">
        <v>202</v>
      </c>
      <c r="H272" s="136">
        <v>0</v>
      </c>
      <c r="I272" s="136">
        <v>0</v>
      </c>
      <c r="K272" s="90" t="str">
        <f t="shared" si="13"/>
        <v>E67F</v>
      </c>
      <c r="L272" s="90"/>
      <c r="M272" s="90"/>
      <c r="N272" s="90"/>
      <c r="O272" s="90"/>
      <c r="P272" s="90"/>
    </row>
    <row r="273" spans="3:16" x14ac:dyDescent="0.3">
      <c r="C273" s="117">
        <v>237</v>
      </c>
      <c r="D273" s="136" t="s">
        <v>650</v>
      </c>
      <c r="E273" s="136" t="s">
        <v>203</v>
      </c>
      <c r="F273" s="136">
        <v>73</v>
      </c>
      <c r="G273" s="136" t="s">
        <v>202</v>
      </c>
      <c r="H273" s="136">
        <v>0</v>
      </c>
      <c r="I273" s="136">
        <v>0</v>
      </c>
      <c r="K273" s="90" t="str">
        <f t="shared" si="13"/>
        <v>E73F</v>
      </c>
      <c r="L273" s="90"/>
      <c r="M273" s="90"/>
      <c r="N273" s="90"/>
      <c r="O273" s="90"/>
      <c r="P273" s="90"/>
    </row>
    <row r="274" spans="3:16" x14ac:dyDescent="0.3">
      <c r="C274" s="117">
        <v>238</v>
      </c>
      <c r="D274" s="136" t="s">
        <v>650</v>
      </c>
      <c r="E274" s="136" t="s">
        <v>69</v>
      </c>
      <c r="F274" s="136">
        <v>76</v>
      </c>
      <c r="G274" s="136" t="s">
        <v>202</v>
      </c>
      <c r="H274" s="136">
        <v>0</v>
      </c>
      <c r="I274" s="136">
        <v>0</v>
      </c>
      <c r="K274" s="90" t="str">
        <f t="shared" si="13"/>
        <v>B76F</v>
      </c>
      <c r="L274" s="90"/>
      <c r="M274" s="90"/>
      <c r="N274" s="90"/>
      <c r="O274" s="90"/>
      <c r="P274" s="90"/>
    </row>
    <row r="275" spans="3:16" x14ac:dyDescent="0.3">
      <c r="C275" s="117">
        <v>239</v>
      </c>
      <c r="D275" s="136" t="s">
        <v>650</v>
      </c>
      <c r="E275" s="136" t="s">
        <v>202</v>
      </c>
      <c r="F275" s="136">
        <v>68</v>
      </c>
      <c r="G275" s="136" t="s">
        <v>195</v>
      </c>
      <c r="H275" s="136">
        <v>4</v>
      </c>
      <c r="I275" s="136">
        <v>2</v>
      </c>
      <c r="K275" s="90" t="str">
        <f t="shared" si="13"/>
        <v>F68M</v>
      </c>
      <c r="L275" s="90"/>
      <c r="M275" s="90"/>
      <c r="N275" s="90"/>
      <c r="O275" s="90"/>
      <c r="P275" s="90"/>
    </row>
    <row r="276" spans="3:16" x14ac:dyDescent="0.3">
      <c r="C276" s="117">
        <v>240</v>
      </c>
      <c r="D276" s="136" t="s">
        <v>650</v>
      </c>
      <c r="E276" s="136" t="s">
        <v>201</v>
      </c>
      <c r="F276" s="136">
        <v>72</v>
      </c>
      <c r="G276" s="136" t="s">
        <v>195</v>
      </c>
      <c r="H276" s="136">
        <v>0</v>
      </c>
      <c r="I276" s="136">
        <v>0</v>
      </c>
      <c r="K276" s="90" t="str">
        <f t="shared" si="13"/>
        <v>G72M</v>
      </c>
      <c r="L276" s="90"/>
      <c r="M276" s="90"/>
      <c r="N276" s="90"/>
      <c r="O276" s="90"/>
      <c r="P276" s="90"/>
    </row>
    <row r="277" spans="3:16" x14ac:dyDescent="0.3">
      <c r="C277" s="117">
        <v>241</v>
      </c>
      <c r="D277" s="136" t="s">
        <v>650</v>
      </c>
      <c r="E277" s="136" t="s">
        <v>198</v>
      </c>
      <c r="F277" s="136">
        <v>80</v>
      </c>
      <c r="G277" s="136" t="s">
        <v>202</v>
      </c>
      <c r="H277" s="136">
        <v>0</v>
      </c>
      <c r="I277" s="136">
        <v>0</v>
      </c>
      <c r="K277" s="90" t="str">
        <f t="shared" si="13"/>
        <v>J80F</v>
      </c>
      <c r="L277" s="90"/>
      <c r="M277" s="90"/>
      <c r="N277" s="90"/>
      <c r="O277" s="90"/>
      <c r="P277" s="90"/>
    </row>
    <row r="278" spans="3:16" x14ac:dyDescent="0.3">
      <c r="C278" s="117">
        <v>242</v>
      </c>
      <c r="D278" s="136" t="s">
        <v>650</v>
      </c>
      <c r="E278" s="136" t="s">
        <v>203</v>
      </c>
      <c r="F278" s="136">
        <v>67</v>
      </c>
      <c r="G278" s="136" t="s">
        <v>195</v>
      </c>
      <c r="H278" s="136">
        <v>2</v>
      </c>
      <c r="I278" s="136">
        <v>2</v>
      </c>
      <c r="K278" s="90" t="str">
        <f t="shared" si="13"/>
        <v>E67M</v>
      </c>
      <c r="L278" s="90"/>
      <c r="M278" s="90"/>
      <c r="N278" s="90"/>
      <c r="O278" s="90"/>
      <c r="P278" s="90"/>
    </row>
    <row r="279" spans="3:16" x14ac:dyDescent="0.3">
      <c r="C279" s="117">
        <v>243</v>
      </c>
      <c r="D279" s="136" t="s">
        <v>650</v>
      </c>
      <c r="E279" s="136" t="s">
        <v>200</v>
      </c>
      <c r="F279" s="136">
        <v>75</v>
      </c>
      <c r="G279" s="136" t="s">
        <v>195</v>
      </c>
      <c r="H279" s="136">
        <v>1</v>
      </c>
      <c r="I279" s="136">
        <v>1</v>
      </c>
      <c r="K279" s="90" t="str">
        <f t="shared" si="13"/>
        <v>H75M</v>
      </c>
      <c r="L279" s="90"/>
      <c r="M279" s="90"/>
      <c r="N279" s="90"/>
      <c r="O279" s="90"/>
      <c r="P279" s="90"/>
    </row>
    <row r="280" spans="3:16" x14ac:dyDescent="0.3">
      <c r="C280" s="117">
        <v>244</v>
      </c>
      <c r="D280" s="136" t="s">
        <v>650</v>
      </c>
      <c r="E280" s="136" t="s">
        <v>203</v>
      </c>
      <c r="F280" s="136">
        <v>79</v>
      </c>
      <c r="G280" s="136" t="s">
        <v>202</v>
      </c>
      <c r="H280" s="136">
        <v>0</v>
      </c>
      <c r="I280" s="136">
        <v>0</v>
      </c>
      <c r="K280" s="90" t="str">
        <f t="shared" si="13"/>
        <v>E79F</v>
      </c>
      <c r="L280" s="90"/>
      <c r="M280" s="90"/>
      <c r="N280" s="90"/>
      <c r="O280" s="90"/>
      <c r="P280" s="90"/>
    </row>
    <row r="281" spans="3:16" x14ac:dyDescent="0.3">
      <c r="C281" s="117">
        <v>245</v>
      </c>
      <c r="D281" s="136" t="s">
        <v>650</v>
      </c>
      <c r="E281" s="136" t="s">
        <v>198</v>
      </c>
      <c r="F281" s="136">
        <v>77</v>
      </c>
      <c r="G281" s="136" t="s">
        <v>202</v>
      </c>
      <c r="H281" s="136">
        <v>1</v>
      </c>
      <c r="I281" s="136">
        <v>1</v>
      </c>
      <c r="K281" s="90" t="str">
        <f t="shared" si="13"/>
        <v>J77F</v>
      </c>
      <c r="L281" s="90"/>
      <c r="M281" s="90"/>
      <c r="N281" s="90"/>
      <c r="O281" s="90"/>
      <c r="P281" s="90"/>
    </row>
    <row r="282" spans="3:16" x14ac:dyDescent="0.3">
      <c r="C282" s="117">
        <v>246</v>
      </c>
      <c r="D282" s="136" t="s">
        <v>650</v>
      </c>
      <c r="E282" s="136" t="s">
        <v>201</v>
      </c>
      <c r="F282" s="136">
        <v>71</v>
      </c>
      <c r="G282" s="136" t="s">
        <v>202</v>
      </c>
      <c r="H282" s="136">
        <v>0</v>
      </c>
      <c r="I282" s="136">
        <v>0</v>
      </c>
      <c r="K282" s="90" t="str">
        <f t="shared" si="13"/>
        <v>G71F</v>
      </c>
      <c r="L282" s="90"/>
      <c r="M282" s="90"/>
      <c r="N282" s="90"/>
      <c r="O282" s="90"/>
      <c r="P282" s="90"/>
    </row>
    <row r="283" spans="3:16" x14ac:dyDescent="0.3">
      <c r="C283" s="117">
        <v>247</v>
      </c>
      <c r="D283" s="136" t="s">
        <v>650</v>
      </c>
      <c r="E283" s="136" t="s">
        <v>198</v>
      </c>
      <c r="F283" s="136">
        <v>70</v>
      </c>
      <c r="G283" s="136" t="s">
        <v>202</v>
      </c>
      <c r="H283" s="136">
        <v>0</v>
      </c>
      <c r="I283" s="136">
        <v>0</v>
      </c>
      <c r="K283" s="90" t="str">
        <f t="shared" si="13"/>
        <v>J70F</v>
      </c>
      <c r="L283" s="90"/>
      <c r="M283" s="90"/>
      <c r="N283" s="90"/>
      <c r="O283" s="90"/>
      <c r="P283" s="90"/>
    </row>
    <row r="284" spans="3:16" x14ac:dyDescent="0.3">
      <c r="C284" s="117">
        <v>248</v>
      </c>
      <c r="D284" s="136" t="s">
        <v>650</v>
      </c>
      <c r="E284" s="136" t="s">
        <v>201</v>
      </c>
      <c r="F284" s="136">
        <v>68</v>
      </c>
      <c r="G284" s="136" t="s">
        <v>195</v>
      </c>
      <c r="H284" s="136">
        <v>0</v>
      </c>
      <c r="I284" s="136">
        <v>0</v>
      </c>
      <c r="K284" s="90" t="str">
        <f t="shared" si="13"/>
        <v>G68M</v>
      </c>
      <c r="L284" s="90"/>
      <c r="M284" s="90"/>
      <c r="N284" s="90"/>
      <c r="O284" s="90"/>
      <c r="P284" s="90"/>
    </row>
    <row r="285" spans="3:16" x14ac:dyDescent="0.3">
      <c r="C285" s="117">
        <v>249</v>
      </c>
      <c r="D285" s="136" t="s">
        <v>650</v>
      </c>
      <c r="E285" s="136" t="s">
        <v>68</v>
      </c>
      <c r="F285" s="136">
        <v>78</v>
      </c>
      <c r="G285" s="136" t="s">
        <v>202</v>
      </c>
      <c r="H285" s="136">
        <v>0</v>
      </c>
      <c r="I285" s="136">
        <v>0</v>
      </c>
      <c r="K285" s="90" t="str">
        <f t="shared" si="13"/>
        <v>C78F</v>
      </c>
      <c r="L285" s="90"/>
      <c r="M285" s="90"/>
      <c r="N285" s="90"/>
      <c r="O285" s="90"/>
      <c r="P285" s="90"/>
    </row>
    <row r="286" spans="3:16" x14ac:dyDescent="0.3">
      <c r="C286" s="117">
        <v>250</v>
      </c>
      <c r="D286" s="136" t="s">
        <v>650</v>
      </c>
      <c r="E286" s="136" t="s">
        <v>70</v>
      </c>
      <c r="F286" s="136">
        <v>79</v>
      </c>
      <c r="G286" s="136" t="s">
        <v>202</v>
      </c>
      <c r="H286" s="136">
        <v>0</v>
      </c>
      <c r="I286" s="136">
        <v>0</v>
      </c>
      <c r="K286" s="90" t="str">
        <f t="shared" si="13"/>
        <v>A79F</v>
      </c>
      <c r="L286" s="90"/>
      <c r="M286" s="90"/>
      <c r="N286" s="90"/>
      <c r="O286" s="90"/>
      <c r="P286" s="90"/>
    </row>
    <row r="287" spans="3:16" x14ac:dyDescent="0.3">
      <c r="C287" s="117">
        <v>251</v>
      </c>
      <c r="D287" s="136" t="s">
        <v>650</v>
      </c>
      <c r="E287" s="136" t="s">
        <v>198</v>
      </c>
      <c r="F287" s="136">
        <v>73</v>
      </c>
      <c r="G287" s="136" t="s">
        <v>202</v>
      </c>
      <c r="H287" s="136">
        <v>0</v>
      </c>
      <c r="I287" s="136">
        <v>0</v>
      </c>
      <c r="K287" s="90" t="str">
        <f t="shared" si="13"/>
        <v>J73F</v>
      </c>
      <c r="L287" s="90"/>
      <c r="M287" s="90"/>
      <c r="N287" s="90"/>
      <c r="O287" s="90"/>
      <c r="P287" s="90"/>
    </row>
    <row r="288" spans="3:16" x14ac:dyDescent="0.3">
      <c r="C288" s="117">
        <v>252</v>
      </c>
      <c r="D288" s="136" t="s">
        <v>650</v>
      </c>
      <c r="E288" s="136" t="s">
        <v>199</v>
      </c>
      <c r="F288" s="136">
        <v>66</v>
      </c>
      <c r="G288" s="136" t="s">
        <v>202</v>
      </c>
      <c r="H288" s="136">
        <v>0</v>
      </c>
      <c r="I288" s="136">
        <v>0</v>
      </c>
      <c r="K288" s="90" t="str">
        <f t="shared" si="13"/>
        <v>I66F</v>
      </c>
      <c r="L288" s="90"/>
      <c r="M288" s="90"/>
      <c r="N288" s="90"/>
      <c r="O288" s="90"/>
      <c r="P288" s="90"/>
    </row>
    <row r="289" spans="3:16" x14ac:dyDescent="0.3">
      <c r="C289" s="117">
        <v>253</v>
      </c>
      <c r="D289" s="136" t="s">
        <v>650</v>
      </c>
      <c r="E289" s="136" t="s">
        <v>203</v>
      </c>
      <c r="F289" s="136">
        <v>66</v>
      </c>
      <c r="G289" s="136" t="s">
        <v>195</v>
      </c>
      <c r="H289" s="136">
        <v>1</v>
      </c>
      <c r="I289" s="136">
        <v>2</v>
      </c>
      <c r="K289" s="90" t="str">
        <f t="shared" si="13"/>
        <v>E66M</v>
      </c>
      <c r="L289" s="90"/>
      <c r="M289" s="90"/>
      <c r="N289" s="90"/>
      <c r="O289" s="90"/>
      <c r="P289" s="90"/>
    </row>
    <row r="290" spans="3:16" x14ac:dyDescent="0.3">
      <c r="C290" s="117">
        <v>254</v>
      </c>
      <c r="D290" s="136" t="s">
        <v>650</v>
      </c>
      <c r="E290" s="136" t="s">
        <v>202</v>
      </c>
      <c r="F290" s="136">
        <v>68</v>
      </c>
      <c r="G290" s="136" t="s">
        <v>202</v>
      </c>
      <c r="H290" s="136">
        <v>0</v>
      </c>
      <c r="I290" s="136">
        <v>0</v>
      </c>
      <c r="K290" s="90" t="str">
        <f t="shared" si="13"/>
        <v>F68F</v>
      </c>
      <c r="L290" s="90"/>
      <c r="M290" s="90"/>
      <c r="N290" s="90"/>
      <c r="O290" s="90"/>
      <c r="P290" s="90"/>
    </row>
    <row r="291" spans="3:16" x14ac:dyDescent="0.3">
      <c r="C291" s="117">
        <v>255</v>
      </c>
      <c r="D291" s="136" t="s">
        <v>650</v>
      </c>
      <c r="E291" s="136" t="s">
        <v>203</v>
      </c>
      <c r="F291" s="136">
        <v>67</v>
      </c>
      <c r="G291" s="136" t="s">
        <v>202</v>
      </c>
      <c r="H291" s="136">
        <v>2</v>
      </c>
      <c r="I291" s="136">
        <v>2</v>
      </c>
      <c r="K291" s="90" t="str">
        <f t="shared" si="13"/>
        <v>E67F</v>
      </c>
      <c r="L291" s="90"/>
      <c r="M291" s="90"/>
      <c r="N291" s="90"/>
      <c r="O291" s="90"/>
      <c r="P291" s="90"/>
    </row>
    <row r="292" spans="3:16" x14ac:dyDescent="0.3">
      <c r="C292" s="117">
        <v>256</v>
      </c>
      <c r="D292" s="136" t="s">
        <v>650</v>
      </c>
      <c r="E292" s="136" t="s">
        <v>204</v>
      </c>
      <c r="F292" s="136">
        <v>69</v>
      </c>
      <c r="G292" s="136" t="s">
        <v>202</v>
      </c>
      <c r="H292" s="136">
        <v>0</v>
      </c>
      <c r="I292" s="136">
        <v>0</v>
      </c>
      <c r="K292" s="90" t="str">
        <f t="shared" si="13"/>
        <v>D69F</v>
      </c>
      <c r="L292" s="90"/>
      <c r="M292" s="90"/>
      <c r="N292" s="90"/>
      <c r="O292" s="90"/>
      <c r="P292" s="90"/>
    </row>
    <row r="293" spans="3:16" x14ac:dyDescent="0.3">
      <c r="C293" s="117">
        <v>257</v>
      </c>
      <c r="D293" s="136" t="s">
        <v>650</v>
      </c>
      <c r="E293" s="136" t="s">
        <v>199</v>
      </c>
      <c r="F293" s="136">
        <v>74</v>
      </c>
      <c r="G293" s="136" t="s">
        <v>202</v>
      </c>
      <c r="H293" s="136">
        <v>1</v>
      </c>
      <c r="I293" s="136">
        <v>2</v>
      </c>
      <c r="K293" s="90" t="str">
        <f t="shared" ref="K293:K336" si="14">E293&amp;F293&amp;G293</f>
        <v>I74F</v>
      </c>
      <c r="L293" s="90"/>
      <c r="M293" s="90"/>
      <c r="N293" s="90"/>
      <c r="O293" s="90"/>
      <c r="P293" s="90"/>
    </row>
    <row r="294" spans="3:16" x14ac:dyDescent="0.3">
      <c r="C294" s="117">
        <v>258</v>
      </c>
      <c r="D294" s="136" t="s">
        <v>650</v>
      </c>
      <c r="E294" s="136" t="s">
        <v>200</v>
      </c>
      <c r="F294" s="136">
        <v>66</v>
      </c>
      <c r="G294" s="136" t="s">
        <v>202</v>
      </c>
      <c r="H294" s="136">
        <v>0</v>
      </c>
      <c r="I294" s="136">
        <v>1</v>
      </c>
      <c r="K294" s="90" t="str">
        <f t="shared" si="14"/>
        <v>H66F</v>
      </c>
      <c r="L294" s="90"/>
      <c r="M294" s="90"/>
      <c r="N294" s="90"/>
      <c r="O294" s="90"/>
      <c r="P294" s="90"/>
    </row>
    <row r="295" spans="3:16" x14ac:dyDescent="0.3">
      <c r="C295" s="117">
        <v>259</v>
      </c>
      <c r="D295" s="136" t="s">
        <v>650</v>
      </c>
      <c r="E295" s="136" t="s">
        <v>200</v>
      </c>
      <c r="F295" s="136">
        <v>69</v>
      </c>
      <c r="G295" s="136" t="s">
        <v>195</v>
      </c>
      <c r="H295" s="136">
        <v>0</v>
      </c>
      <c r="I295" s="136">
        <v>0</v>
      </c>
      <c r="K295" s="90" t="str">
        <f t="shared" si="14"/>
        <v>H69M</v>
      </c>
      <c r="L295" s="90"/>
      <c r="M295" s="90"/>
      <c r="N295" s="90"/>
      <c r="O295" s="90"/>
      <c r="P295" s="90"/>
    </row>
    <row r="296" spans="3:16" x14ac:dyDescent="0.3">
      <c r="C296" s="117">
        <v>260</v>
      </c>
      <c r="D296" s="136" t="s">
        <v>650</v>
      </c>
      <c r="E296" s="136" t="s">
        <v>198</v>
      </c>
      <c r="F296" s="136">
        <v>72</v>
      </c>
      <c r="G296" s="136" t="s">
        <v>202</v>
      </c>
      <c r="H296" s="136">
        <v>0</v>
      </c>
      <c r="I296" s="136">
        <v>0</v>
      </c>
      <c r="K296" s="90" t="str">
        <f t="shared" si="14"/>
        <v>J72F</v>
      </c>
      <c r="L296" s="90"/>
      <c r="M296" s="90"/>
      <c r="N296" s="90"/>
      <c r="O296" s="90"/>
      <c r="P296" s="90"/>
    </row>
    <row r="297" spans="3:16" x14ac:dyDescent="0.3">
      <c r="C297" s="117">
        <v>261</v>
      </c>
      <c r="D297" s="136" t="s">
        <v>650</v>
      </c>
      <c r="E297" s="136" t="s">
        <v>69</v>
      </c>
      <c r="F297" s="136">
        <v>68</v>
      </c>
      <c r="G297" s="136" t="s">
        <v>202</v>
      </c>
      <c r="H297" s="136">
        <v>0</v>
      </c>
      <c r="I297" s="136">
        <v>0</v>
      </c>
      <c r="K297" s="90" t="str">
        <f t="shared" si="14"/>
        <v>B68F</v>
      </c>
      <c r="L297" s="90"/>
      <c r="M297" s="90"/>
      <c r="N297" s="90"/>
      <c r="O297" s="90"/>
      <c r="P297" s="90"/>
    </row>
    <row r="298" spans="3:16" x14ac:dyDescent="0.3">
      <c r="C298" s="117">
        <v>262</v>
      </c>
      <c r="D298" s="136" t="s">
        <v>650</v>
      </c>
      <c r="E298" s="136" t="s">
        <v>68</v>
      </c>
      <c r="F298" s="136">
        <v>76</v>
      </c>
      <c r="G298" s="136" t="s">
        <v>195</v>
      </c>
      <c r="H298" s="136">
        <v>0</v>
      </c>
      <c r="I298" s="136">
        <v>0</v>
      </c>
      <c r="K298" s="90" t="str">
        <f t="shared" si="14"/>
        <v>C76M</v>
      </c>
      <c r="L298" s="90"/>
      <c r="M298" s="90"/>
      <c r="N298" s="90"/>
      <c r="O298" s="90"/>
      <c r="P298" s="90"/>
    </row>
    <row r="299" spans="3:16" x14ac:dyDescent="0.3">
      <c r="C299" s="117">
        <v>263</v>
      </c>
      <c r="D299" s="136" t="s">
        <v>650</v>
      </c>
      <c r="E299" s="136" t="s">
        <v>204</v>
      </c>
      <c r="F299" s="136">
        <v>72</v>
      </c>
      <c r="G299" s="136" t="s">
        <v>195</v>
      </c>
      <c r="H299" s="136">
        <v>0</v>
      </c>
      <c r="I299" s="136">
        <v>0</v>
      </c>
      <c r="K299" s="90" t="str">
        <f t="shared" si="14"/>
        <v>D72M</v>
      </c>
      <c r="L299" s="90"/>
      <c r="M299" s="90"/>
      <c r="N299" s="90"/>
      <c r="O299" s="90"/>
      <c r="P299" s="90"/>
    </row>
    <row r="300" spans="3:16" x14ac:dyDescent="0.3">
      <c r="C300" s="117">
        <v>264</v>
      </c>
      <c r="D300" s="136" t="s">
        <v>650</v>
      </c>
      <c r="E300" s="136" t="s">
        <v>201</v>
      </c>
      <c r="F300" s="136">
        <v>74</v>
      </c>
      <c r="G300" s="136" t="s">
        <v>202</v>
      </c>
      <c r="H300" s="136">
        <v>0</v>
      </c>
      <c r="I300" s="136">
        <v>1</v>
      </c>
      <c r="K300" s="90" t="str">
        <f t="shared" si="14"/>
        <v>G74F</v>
      </c>
      <c r="L300" s="90"/>
      <c r="M300" s="90"/>
      <c r="N300" s="90"/>
      <c r="O300" s="90"/>
      <c r="P300" s="90"/>
    </row>
    <row r="301" spans="3:16" x14ac:dyDescent="0.3">
      <c r="C301" s="117">
        <v>265</v>
      </c>
      <c r="D301" s="136" t="s">
        <v>650</v>
      </c>
      <c r="E301" s="136" t="s">
        <v>201</v>
      </c>
      <c r="F301" s="136">
        <v>78</v>
      </c>
      <c r="G301" s="136" t="s">
        <v>195</v>
      </c>
      <c r="H301" s="136">
        <v>2</v>
      </c>
      <c r="I301" s="136">
        <v>1</v>
      </c>
      <c r="K301" s="90" t="str">
        <f t="shared" si="14"/>
        <v>G78M</v>
      </c>
      <c r="L301" s="90"/>
      <c r="M301" s="90"/>
      <c r="N301" s="90"/>
      <c r="O301" s="90"/>
      <c r="P301" s="90"/>
    </row>
    <row r="302" spans="3:16" x14ac:dyDescent="0.3">
      <c r="C302" s="117">
        <v>266</v>
      </c>
      <c r="D302" s="136" t="s">
        <v>650</v>
      </c>
      <c r="E302" s="136" t="s">
        <v>202</v>
      </c>
      <c r="F302" s="136">
        <v>71</v>
      </c>
      <c r="G302" s="136" t="s">
        <v>202</v>
      </c>
      <c r="H302" s="136">
        <v>0</v>
      </c>
      <c r="I302" s="136">
        <v>0</v>
      </c>
      <c r="K302" s="90" t="str">
        <f t="shared" si="14"/>
        <v>F71F</v>
      </c>
      <c r="L302" s="90"/>
      <c r="M302" s="90"/>
      <c r="N302" s="90"/>
      <c r="O302" s="90"/>
      <c r="P302" s="90"/>
    </row>
    <row r="303" spans="3:16" x14ac:dyDescent="0.3">
      <c r="C303" s="117">
        <v>267</v>
      </c>
      <c r="D303" s="136" t="s">
        <v>650</v>
      </c>
      <c r="E303" s="136" t="s">
        <v>198</v>
      </c>
      <c r="F303" s="136">
        <v>72</v>
      </c>
      <c r="G303" s="136" t="s">
        <v>202</v>
      </c>
      <c r="H303" s="136">
        <v>0</v>
      </c>
      <c r="I303" s="136">
        <v>0</v>
      </c>
      <c r="K303" s="90" t="str">
        <f t="shared" si="14"/>
        <v>J72F</v>
      </c>
      <c r="L303" s="90"/>
      <c r="M303" s="90"/>
      <c r="N303" s="90"/>
      <c r="O303" s="90"/>
      <c r="P303" s="90"/>
    </row>
    <row r="304" spans="3:16" x14ac:dyDescent="0.3">
      <c r="C304" s="117">
        <v>268</v>
      </c>
      <c r="D304" s="136" t="s">
        <v>650</v>
      </c>
      <c r="E304" s="136" t="s">
        <v>200</v>
      </c>
      <c r="F304" s="136">
        <v>74</v>
      </c>
      <c r="G304" s="136" t="s">
        <v>195</v>
      </c>
      <c r="H304" s="136">
        <v>0</v>
      </c>
      <c r="I304" s="136">
        <v>0</v>
      </c>
      <c r="K304" s="90" t="str">
        <f t="shared" si="14"/>
        <v>H74M</v>
      </c>
      <c r="L304" s="90"/>
      <c r="M304" s="90"/>
      <c r="N304" s="90"/>
      <c r="O304" s="90"/>
      <c r="P304" s="90"/>
    </row>
    <row r="305" spans="3:16" x14ac:dyDescent="0.3">
      <c r="C305" s="117">
        <v>269</v>
      </c>
      <c r="D305" s="136" t="s">
        <v>650</v>
      </c>
      <c r="E305" s="136" t="s">
        <v>204</v>
      </c>
      <c r="F305" s="136">
        <v>75</v>
      </c>
      <c r="G305" s="136" t="s">
        <v>195</v>
      </c>
      <c r="H305" s="136">
        <v>2</v>
      </c>
      <c r="I305" s="136">
        <v>4</v>
      </c>
      <c r="K305" s="90" t="str">
        <f t="shared" si="14"/>
        <v>D75M</v>
      </c>
      <c r="L305" s="90"/>
      <c r="M305" s="90"/>
      <c r="N305" s="90"/>
      <c r="O305" s="90"/>
      <c r="P305" s="90"/>
    </row>
    <row r="306" spans="3:16" x14ac:dyDescent="0.3">
      <c r="C306" s="117">
        <v>270</v>
      </c>
      <c r="D306" s="136" t="s">
        <v>650</v>
      </c>
      <c r="E306" s="136" t="s">
        <v>203</v>
      </c>
      <c r="F306" s="136">
        <v>75</v>
      </c>
      <c r="G306" s="136" t="s">
        <v>195</v>
      </c>
      <c r="H306" s="136">
        <v>0</v>
      </c>
      <c r="I306" s="136">
        <v>0</v>
      </c>
      <c r="K306" s="90" t="str">
        <f t="shared" si="14"/>
        <v>E75M</v>
      </c>
      <c r="L306" s="90"/>
      <c r="M306" s="90"/>
      <c r="N306" s="90"/>
      <c r="O306" s="90"/>
      <c r="P306" s="90"/>
    </row>
    <row r="307" spans="3:16" x14ac:dyDescent="0.3">
      <c r="C307" s="117">
        <v>271</v>
      </c>
      <c r="D307" s="136" t="s">
        <v>650</v>
      </c>
      <c r="E307" s="136" t="s">
        <v>202</v>
      </c>
      <c r="F307" s="136">
        <v>70</v>
      </c>
      <c r="G307" s="136" t="s">
        <v>202</v>
      </c>
      <c r="H307" s="136">
        <v>0</v>
      </c>
      <c r="I307" s="136">
        <v>0</v>
      </c>
      <c r="K307" s="90" t="str">
        <f t="shared" si="14"/>
        <v>F70F</v>
      </c>
      <c r="L307" s="90"/>
      <c r="M307" s="90"/>
      <c r="N307" s="90"/>
      <c r="O307" s="90"/>
      <c r="P307" s="90"/>
    </row>
    <row r="308" spans="3:16" x14ac:dyDescent="0.3">
      <c r="C308" s="117">
        <v>272</v>
      </c>
      <c r="D308" s="136" t="s">
        <v>650</v>
      </c>
      <c r="E308" s="136" t="s">
        <v>70</v>
      </c>
      <c r="F308" s="136">
        <v>79</v>
      </c>
      <c r="G308" s="136" t="s">
        <v>202</v>
      </c>
      <c r="H308" s="136">
        <v>1</v>
      </c>
      <c r="I308" s="136">
        <v>0</v>
      </c>
      <c r="K308" s="90" t="str">
        <f t="shared" si="14"/>
        <v>A79F</v>
      </c>
      <c r="L308" s="90"/>
      <c r="M308" s="90"/>
      <c r="N308" s="90"/>
      <c r="O308" s="90"/>
      <c r="P308" s="90"/>
    </row>
    <row r="309" spans="3:16" x14ac:dyDescent="0.3">
      <c r="C309" s="117">
        <v>273</v>
      </c>
      <c r="D309" s="136" t="s">
        <v>650</v>
      </c>
      <c r="E309" s="136" t="s">
        <v>200</v>
      </c>
      <c r="F309" s="136">
        <v>68</v>
      </c>
      <c r="G309" s="136" t="s">
        <v>195</v>
      </c>
      <c r="H309" s="136">
        <v>0</v>
      </c>
      <c r="I309" s="136">
        <v>0</v>
      </c>
      <c r="K309" s="90" t="str">
        <f t="shared" si="14"/>
        <v>H68M</v>
      </c>
      <c r="L309" s="90"/>
      <c r="M309" s="90"/>
      <c r="N309" s="90"/>
      <c r="O309" s="90"/>
      <c r="P309" s="90"/>
    </row>
    <row r="310" spans="3:16" x14ac:dyDescent="0.3">
      <c r="C310" s="117">
        <v>274</v>
      </c>
      <c r="D310" s="136" t="s">
        <v>650</v>
      </c>
      <c r="E310" s="136" t="s">
        <v>203</v>
      </c>
      <c r="F310" s="136">
        <v>65</v>
      </c>
      <c r="G310" s="136" t="s">
        <v>195</v>
      </c>
      <c r="H310" s="136">
        <v>0</v>
      </c>
      <c r="I310" s="136">
        <v>2</v>
      </c>
      <c r="K310" s="90" t="str">
        <f t="shared" si="14"/>
        <v>E65M</v>
      </c>
      <c r="L310" s="90"/>
      <c r="M310" s="90"/>
      <c r="N310" s="90"/>
      <c r="O310" s="90"/>
      <c r="P310" s="90"/>
    </row>
    <row r="311" spans="3:16" x14ac:dyDescent="0.3">
      <c r="C311" s="117">
        <v>275</v>
      </c>
      <c r="D311" s="136" t="s">
        <v>650</v>
      </c>
      <c r="E311" s="136" t="s">
        <v>68</v>
      </c>
      <c r="F311" s="136">
        <v>72</v>
      </c>
      <c r="G311" s="136" t="s">
        <v>202</v>
      </c>
      <c r="H311" s="136">
        <v>0</v>
      </c>
      <c r="I311" s="136">
        <v>0</v>
      </c>
      <c r="K311" s="90" t="str">
        <f t="shared" si="14"/>
        <v>C72F</v>
      </c>
      <c r="L311" s="90"/>
      <c r="M311" s="90"/>
      <c r="N311" s="90"/>
      <c r="O311" s="90"/>
      <c r="P311" s="90"/>
    </row>
    <row r="312" spans="3:16" x14ac:dyDescent="0.3">
      <c r="C312" s="117">
        <v>276</v>
      </c>
      <c r="D312" s="136" t="s">
        <v>650</v>
      </c>
      <c r="E312" s="136" t="s">
        <v>70</v>
      </c>
      <c r="F312" s="136">
        <v>69</v>
      </c>
      <c r="G312" s="136" t="s">
        <v>195</v>
      </c>
      <c r="H312" s="136">
        <v>0</v>
      </c>
      <c r="I312" s="136">
        <v>0</v>
      </c>
      <c r="K312" s="90" t="str">
        <f t="shared" si="14"/>
        <v>A69M</v>
      </c>
      <c r="L312" s="90"/>
      <c r="M312" s="90"/>
      <c r="N312" s="90"/>
      <c r="O312" s="90"/>
      <c r="P312" s="90"/>
    </row>
    <row r="313" spans="3:16" x14ac:dyDescent="0.3">
      <c r="C313" s="117">
        <v>277</v>
      </c>
      <c r="D313" s="136" t="s">
        <v>650</v>
      </c>
      <c r="E313" s="136" t="s">
        <v>198</v>
      </c>
      <c r="F313" s="136">
        <v>71</v>
      </c>
      <c r="G313" s="136" t="s">
        <v>195</v>
      </c>
      <c r="H313" s="136">
        <v>1</v>
      </c>
      <c r="I313" s="136">
        <v>3</v>
      </c>
      <c r="K313" s="90" t="str">
        <f t="shared" si="14"/>
        <v>J71M</v>
      </c>
      <c r="L313" s="90"/>
      <c r="M313" s="90"/>
      <c r="N313" s="90"/>
      <c r="O313" s="90"/>
      <c r="P313" s="90"/>
    </row>
    <row r="314" spans="3:16" x14ac:dyDescent="0.3">
      <c r="C314" s="117">
        <v>278</v>
      </c>
      <c r="D314" s="136" t="s">
        <v>650</v>
      </c>
      <c r="E314" s="136" t="s">
        <v>204</v>
      </c>
      <c r="F314" s="136">
        <v>69</v>
      </c>
      <c r="G314" s="136" t="s">
        <v>202</v>
      </c>
      <c r="H314" s="136">
        <v>0</v>
      </c>
      <c r="I314" s="136">
        <v>0</v>
      </c>
      <c r="K314" s="90" t="str">
        <f t="shared" si="14"/>
        <v>D69F</v>
      </c>
      <c r="L314" s="90"/>
      <c r="M314" s="90"/>
      <c r="N314" s="90"/>
      <c r="O314" s="90"/>
      <c r="P314" s="90"/>
    </row>
    <row r="315" spans="3:16" x14ac:dyDescent="0.3">
      <c r="C315" s="117">
        <v>279</v>
      </c>
      <c r="D315" s="136" t="s">
        <v>650</v>
      </c>
      <c r="E315" s="136" t="s">
        <v>198</v>
      </c>
      <c r="F315" s="136">
        <v>71</v>
      </c>
      <c r="G315" s="136" t="s">
        <v>195</v>
      </c>
      <c r="H315" s="136">
        <v>1</v>
      </c>
      <c r="I315" s="136">
        <v>1</v>
      </c>
      <c r="K315" s="90" t="str">
        <f t="shared" si="14"/>
        <v>J71M</v>
      </c>
      <c r="L315" s="90"/>
      <c r="M315" s="90"/>
      <c r="N315" s="90"/>
      <c r="O315" s="90"/>
      <c r="P315" s="90"/>
    </row>
    <row r="316" spans="3:16" x14ac:dyDescent="0.3">
      <c r="C316" s="117">
        <v>280</v>
      </c>
      <c r="D316" s="136" t="s">
        <v>650</v>
      </c>
      <c r="E316" s="136" t="s">
        <v>70</v>
      </c>
      <c r="F316" s="136">
        <v>66</v>
      </c>
      <c r="G316" s="136" t="s">
        <v>195</v>
      </c>
      <c r="H316" s="136">
        <v>1</v>
      </c>
      <c r="I316" s="136">
        <v>0</v>
      </c>
      <c r="K316" s="90" t="str">
        <f t="shared" si="14"/>
        <v>A66M</v>
      </c>
      <c r="L316" s="90"/>
      <c r="M316" s="90"/>
      <c r="N316" s="90"/>
      <c r="O316" s="90"/>
      <c r="P316" s="90"/>
    </row>
    <row r="317" spans="3:16" x14ac:dyDescent="0.3">
      <c r="C317" s="117">
        <v>281</v>
      </c>
      <c r="D317" s="136" t="s">
        <v>650</v>
      </c>
      <c r="E317" s="136" t="s">
        <v>200</v>
      </c>
      <c r="F317" s="136">
        <v>70</v>
      </c>
      <c r="G317" s="136" t="s">
        <v>202</v>
      </c>
      <c r="H317" s="136">
        <v>0</v>
      </c>
      <c r="I317" s="136">
        <v>0</v>
      </c>
      <c r="K317" s="90" t="str">
        <f t="shared" si="14"/>
        <v>H70F</v>
      </c>
      <c r="L317" s="90"/>
      <c r="M317" s="90"/>
      <c r="N317" s="90"/>
      <c r="O317" s="90"/>
      <c r="P317" s="90"/>
    </row>
    <row r="318" spans="3:16" x14ac:dyDescent="0.3">
      <c r="C318" s="117">
        <v>282</v>
      </c>
      <c r="D318" s="136" t="s">
        <v>650</v>
      </c>
      <c r="E318" s="136" t="s">
        <v>203</v>
      </c>
      <c r="F318" s="136">
        <v>77</v>
      </c>
      <c r="G318" s="136" t="s">
        <v>202</v>
      </c>
      <c r="H318" s="136">
        <v>2</v>
      </c>
      <c r="I318" s="136">
        <v>2</v>
      </c>
      <c r="K318" s="90" t="str">
        <f t="shared" si="14"/>
        <v>E77F</v>
      </c>
      <c r="L318" s="90"/>
      <c r="M318" s="90"/>
      <c r="N318" s="90"/>
      <c r="O318" s="90"/>
      <c r="P318" s="90"/>
    </row>
    <row r="319" spans="3:16" x14ac:dyDescent="0.3">
      <c r="C319" s="117">
        <v>283</v>
      </c>
      <c r="D319" s="136" t="s">
        <v>650</v>
      </c>
      <c r="E319" s="136" t="s">
        <v>198</v>
      </c>
      <c r="F319" s="136">
        <v>67</v>
      </c>
      <c r="G319" s="136" t="s">
        <v>202</v>
      </c>
      <c r="H319" s="136">
        <v>1</v>
      </c>
      <c r="I319" s="136">
        <v>1</v>
      </c>
      <c r="K319" s="90" t="str">
        <f t="shared" si="14"/>
        <v>J67F</v>
      </c>
      <c r="L319" s="90"/>
      <c r="M319" s="90"/>
      <c r="N319" s="90"/>
      <c r="O319" s="90"/>
      <c r="P319" s="90"/>
    </row>
    <row r="320" spans="3:16" x14ac:dyDescent="0.3">
      <c r="C320" s="117">
        <v>284</v>
      </c>
      <c r="D320" s="136" t="s">
        <v>650</v>
      </c>
      <c r="E320" s="136" t="s">
        <v>198</v>
      </c>
      <c r="F320" s="136">
        <v>68</v>
      </c>
      <c r="G320" s="136" t="s">
        <v>195</v>
      </c>
      <c r="H320" s="136">
        <v>0</v>
      </c>
      <c r="I320" s="136">
        <v>0</v>
      </c>
      <c r="K320" s="90" t="str">
        <f t="shared" si="14"/>
        <v>J68M</v>
      </c>
      <c r="L320" s="90"/>
      <c r="M320" s="90"/>
      <c r="N320" s="90"/>
      <c r="O320" s="90"/>
      <c r="P320" s="90"/>
    </row>
    <row r="321" spans="3:16" x14ac:dyDescent="0.3">
      <c r="C321" s="117">
        <v>285</v>
      </c>
      <c r="D321" s="136" t="s">
        <v>650</v>
      </c>
      <c r="E321" s="136" t="s">
        <v>203</v>
      </c>
      <c r="F321" s="136">
        <v>75</v>
      </c>
      <c r="G321" s="136" t="s">
        <v>195</v>
      </c>
      <c r="H321" s="136">
        <v>1</v>
      </c>
      <c r="I321" s="136">
        <v>1</v>
      </c>
      <c r="K321" s="90" t="str">
        <f t="shared" si="14"/>
        <v>E75M</v>
      </c>
      <c r="L321" s="90"/>
      <c r="M321" s="90"/>
      <c r="N321" s="90"/>
      <c r="O321" s="90"/>
      <c r="P321" s="90"/>
    </row>
    <row r="322" spans="3:16" x14ac:dyDescent="0.3">
      <c r="C322" s="117">
        <v>286</v>
      </c>
      <c r="D322" s="136" t="s">
        <v>650</v>
      </c>
      <c r="E322" s="136" t="s">
        <v>200</v>
      </c>
      <c r="F322" s="136">
        <v>72</v>
      </c>
      <c r="G322" s="136" t="s">
        <v>202</v>
      </c>
      <c r="H322" s="136">
        <v>0</v>
      </c>
      <c r="I322" s="136">
        <v>0</v>
      </c>
      <c r="K322" s="90" t="str">
        <f t="shared" si="14"/>
        <v>H72F</v>
      </c>
      <c r="L322" s="90"/>
      <c r="M322" s="90"/>
      <c r="N322" s="90"/>
      <c r="O322" s="90"/>
      <c r="P322" s="90"/>
    </row>
    <row r="323" spans="3:16" x14ac:dyDescent="0.3">
      <c r="C323" s="117">
        <v>287</v>
      </c>
      <c r="D323" s="136" t="s">
        <v>650</v>
      </c>
      <c r="E323" s="136" t="s">
        <v>201</v>
      </c>
      <c r="F323" s="136">
        <v>65</v>
      </c>
      <c r="G323" s="136" t="s">
        <v>202</v>
      </c>
      <c r="H323" s="136">
        <v>1</v>
      </c>
      <c r="I323" s="136">
        <v>1</v>
      </c>
      <c r="K323" s="90" t="str">
        <f t="shared" si="14"/>
        <v>G65F</v>
      </c>
      <c r="L323" s="90"/>
      <c r="M323" s="90"/>
      <c r="N323" s="90"/>
      <c r="O323" s="90"/>
      <c r="P323" s="90"/>
    </row>
    <row r="324" spans="3:16" x14ac:dyDescent="0.3">
      <c r="C324" s="117">
        <v>288</v>
      </c>
      <c r="D324" s="136" t="s">
        <v>650</v>
      </c>
      <c r="E324" s="136" t="s">
        <v>68</v>
      </c>
      <c r="F324" s="136">
        <v>69</v>
      </c>
      <c r="G324" s="136" t="s">
        <v>202</v>
      </c>
      <c r="H324" s="136">
        <v>2</v>
      </c>
      <c r="I324" s="136">
        <v>2</v>
      </c>
      <c r="K324" s="90" t="str">
        <f t="shared" si="14"/>
        <v>C69F</v>
      </c>
      <c r="L324" s="90"/>
      <c r="M324" s="90"/>
      <c r="N324" s="90"/>
      <c r="O324" s="90"/>
      <c r="P324" s="90"/>
    </row>
    <row r="325" spans="3:16" x14ac:dyDescent="0.3">
      <c r="C325" s="117">
        <v>289</v>
      </c>
      <c r="D325" s="136" t="s">
        <v>650</v>
      </c>
      <c r="E325" s="136" t="s">
        <v>68</v>
      </c>
      <c r="F325" s="136">
        <v>67</v>
      </c>
      <c r="G325" s="136" t="s">
        <v>195</v>
      </c>
      <c r="H325" s="136">
        <v>0</v>
      </c>
      <c r="I325" s="136">
        <v>0</v>
      </c>
      <c r="K325" s="90" t="str">
        <f t="shared" si="14"/>
        <v>C67M</v>
      </c>
      <c r="L325" s="90"/>
      <c r="M325" s="90"/>
      <c r="N325" s="90"/>
      <c r="O325" s="90"/>
      <c r="P325" s="90"/>
    </row>
    <row r="326" spans="3:16" x14ac:dyDescent="0.3">
      <c r="C326" s="117">
        <v>290</v>
      </c>
      <c r="D326" s="136" t="s">
        <v>650</v>
      </c>
      <c r="E326" s="136" t="s">
        <v>203</v>
      </c>
      <c r="F326" s="136">
        <v>79</v>
      </c>
      <c r="G326" s="136" t="s">
        <v>195</v>
      </c>
      <c r="H326" s="136">
        <v>0</v>
      </c>
      <c r="I326" s="136">
        <v>0</v>
      </c>
      <c r="K326" s="90" t="str">
        <f t="shared" si="14"/>
        <v>E79M</v>
      </c>
      <c r="L326" s="90"/>
      <c r="M326" s="90"/>
      <c r="N326" s="90"/>
      <c r="O326" s="90"/>
      <c r="P326" s="90"/>
    </row>
    <row r="327" spans="3:16" x14ac:dyDescent="0.3">
      <c r="C327" s="117">
        <v>291</v>
      </c>
      <c r="D327" s="136" t="s">
        <v>650</v>
      </c>
      <c r="E327" s="136" t="s">
        <v>70</v>
      </c>
      <c r="F327" s="136">
        <v>68</v>
      </c>
      <c r="G327" s="136" t="s">
        <v>195</v>
      </c>
      <c r="H327" s="136">
        <v>3</v>
      </c>
      <c r="I327" s="136">
        <v>3</v>
      </c>
      <c r="K327" s="90" t="str">
        <f t="shared" si="14"/>
        <v>A68M</v>
      </c>
      <c r="L327" s="90"/>
      <c r="M327" s="90"/>
      <c r="N327" s="90"/>
      <c r="O327" s="90"/>
      <c r="P327" s="90"/>
    </row>
    <row r="328" spans="3:16" x14ac:dyDescent="0.3">
      <c r="C328" s="117">
        <v>292</v>
      </c>
      <c r="D328" s="136" t="s">
        <v>650</v>
      </c>
      <c r="E328" s="136" t="s">
        <v>201</v>
      </c>
      <c r="F328" s="136">
        <v>73</v>
      </c>
      <c r="G328" s="136" t="s">
        <v>195</v>
      </c>
      <c r="H328" s="136">
        <v>0</v>
      </c>
      <c r="I328" s="136">
        <v>0</v>
      </c>
      <c r="K328" s="90" t="str">
        <f t="shared" si="14"/>
        <v>G73M</v>
      </c>
      <c r="L328" s="90"/>
      <c r="M328" s="90"/>
      <c r="N328" s="90"/>
      <c r="O328" s="90"/>
      <c r="P328" s="90"/>
    </row>
    <row r="329" spans="3:16" x14ac:dyDescent="0.3">
      <c r="C329" s="117">
        <v>293</v>
      </c>
      <c r="D329" s="136" t="s">
        <v>650</v>
      </c>
      <c r="E329" s="136" t="s">
        <v>202</v>
      </c>
      <c r="F329" s="136">
        <v>70</v>
      </c>
      <c r="G329" s="136" t="s">
        <v>195</v>
      </c>
      <c r="H329" s="136">
        <v>0</v>
      </c>
      <c r="I329" s="136">
        <v>0</v>
      </c>
      <c r="K329" s="90" t="str">
        <f t="shared" si="14"/>
        <v>F70M</v>
      </c>
      <c r="L329" s="90"/>
      <c r="M329" s="90"/>
      <c r="N329" s="90"/>
      <c r="O329" s="90"/>
      <c r="P329" s="90"/>
    </row>
    <row r="330" spans="3:16" x14ac:dyDescent="0.3">
      <c r="C330" s="117">
        <v>294</v>
      </c>
      <c r="D330" s="136" t="s">
        <v>650</v>
      </c>
      <c r="E330" s="136" t="s">
        <v>203</v>
      </c>
      <c r="F330" s="136">
        <v>67</v>
      </c>
      <c r="G330" s="136" t="s">
        <v>195</v>
      </c>
      <c r="H330" s="136">
        <v>2</v>
      </c>
      <c r="I330" s="136">
        <v>2</v>
      </c>
      <c r="K330" s="90" t="str">
        <f t="shared" si="14"/>
        <v>E67M</v>
      </c>
      <c r="L330" s="90"/>
      <c r="M330" s="90"/>
      <c r="N330" s="90"/>
      <c r="O330" s="90"/>
      <c r="P330" s="90"/>
    </row>
    <row r="331" spans="3:16" x14ac:dyDescent="0.3">
      <c r="C331" s="117">
        <v>295</v>
      </c>
      <c r="D331" s="136" t="s">
        <v>650</v>
      </c>
      <c r="E331" s="136" t="s">
        <v>201</v>
      </c>
      <c r="F331" s="136">
        <v>75</v>
      </c>
      <c r="G331" s="136" t="s">
        <v>202</v>
      </c>
      <c r="H331" s="136">
        <v>0</v>
      </c>
      <c r="I331" s="136">
        <v>0</v>
      </c>
      <c r="K331" s="90" t="str">
        <f t="shared" si="14"/>
        <v>G75F</v>
      </c>
      <c r="L331" s="90"/>
      <c r="M331" s="90"/>
      <c r="N331" s="90"/>
      <c r="O331" s="90"/>
      <c r="P331" s="90"/>
    </row>
    <row r="332" spans="3:16" x14ac:dyDescent="0.3">
      <c r="C332" s="117">
        <v>296</v>
      </c>
      <c r="D332" s="136" t="s">
        <v>650</v>
      </c>
      <c r="E332" s="136" t="s">
        <v>202</v>
      </c>
      <c r="F332" s="136">
        <v>67</v>
      </c>
      <c r="G332" s="136" t="s">
        <v>195</v>
      </c>
      <c r="H332" s="136">
        <v>0</v>
      </c>
      <c r="I332" s="136">
        <v>0</v>
      </c>
      <c r="K332" s="90" t="str">
        <f t="shared" si="14"/>
        <v>F67M</v>
      </c>
      <c r="L332" s="90"/>
      <c r="M332" s="90"/>
      <c r="N332" s="90"/>
      <c r="O332" s="90"/>
      <c r="P332" s="90"/>
    </row>
    <row r="333" spans="3:16" x14ac:dyDescent="0.3">
      <c r="C333" s="117">
        <v>297</v>
      </c>
      <c r="D333" s="136" t="s">
        <v>650</v>
      </c>
      <c r="E333" s="136" t="s">
        <v>202</v>
      </c>
      <c r="F333" s="136">
        <v>80</v>
      </c>
      <c r="G333" s="136" t="s">
        <v>202</v>
      </c>
      <c r="H333" s="136">
        <v>0</v>
      </c>
      <c r="I333" s="136">
        <v>0</v>
      </c>
      <c r="K333" s="90" t="str">
        <f t="shared" si="14"/>
        <v>F80F</v>
      </c>
      <c r="L333" s="90"/>
      <c r="M333" s="90"/>
      <c r="N333" s="90"/>
      <c r="O333" s="90"/>
      <c r="P333" s="90"/>
    </row>
    <row r="334" spans="3:16" x14ac:dyDescent="0.3">
      <c r="C334" s="117">
        <v>298</v>
      </c>
      <c r="D334" s="136" t="s">
        <v>650</v>
      </c>
      <c r="E334" s="136" t="s">
        <v>200</v>
      </c>
      <c r="F334" s="136">
        <v>67</v>
      </c>
      <c r="G334" s="136" t="s">
        <v>202</v>
      </c>
      <c r="H334" s="136">
        <v>0</v>
      </c>
      <c r="I334" s="136">
        <v>0</v>
      </c>
      <c r="K334" s="90" t="str">
        <f t="shared" si="14"/>
        <v>H67F</v>
      </c>
      <c r="L334" s="90"/>
      <c r="M334" s="90"/>
      <c r="N334" s="90"/>
      <c r="O334" s="90"/>
      <c r="P334" s="90"/>
    </row>
    <row r="335" spans="3:16" x14ac:dyDescent="0.3">
      <c r="C335" s="117">
        <v>299</v>
      </c>
      <c r="D335" s="136" t="s">
        <v>650</v>
      </c>
      <c r="E335" s="136" t="s">
        <v>199</v>
      </c>
      <c r="F335" s="136">
        <v>68</v>
      </c>
      <c r="G335" s="136" t="s">
        <v>195</v>
      </c>
      <c r="H335" s="136">
        <v>1</v>
      </c>
      <c r="I335" s="136">
        <v>1</v>
      </c>
      <c r="K335" s="90" t="str">
        <f t="shared" si="14"/>
        <v>I68M</v>
      </c>
      <c r="L335" s="90"/>
      <c r="M335" s="90"/>
      <c r="N335" s="90"/>
      <c r="O335" s="90"/>
      <c r="P335" s="90"/>
    </row>
    <row r="336" spans="3:16" x14ac:dyDescent="0.3">
      <c r="C336" s="119">
        <v>300</v>
      </c>
      <c r="D336" s="135" t="s">
        <v>650</v>
      </c>
      <c r="E336" s="135" t="s">
        <v>198</v>
      </c>
      <c r="F336" s="135">
        <v>69</v>
      </c>
      <c r="G336" s="135" t="s">
        <v>202</v>
      </c>
      <c r="H336" s="135">
        <v>3</v>
      </c>
      <c r="I336" s="135">
        <v>3</v>
      </c>
      <c r="K336" s="90" t="str">
        <f t="shared" si="14"/>
        <v>J69F</v>
      </c>
      <c r="L336" s="90"/>
      <c r="M336" s="90"/>
      <c r="N336" s="90"/>
      <c r="O336" s="90"/>
      <c r="P336" s="90"/>
    </row>
  </sheetData>
  <mergeCells count="5">
    <mergeCell ref="C10:F10"/>
    <mergeCell ref="C14:I14"/>
    <mergeCell ref="K14:O14"/>
    <mergeCell ref="M35:N35"/>
    <mergeCell ref="O35:P35"/>
  </mergeCells>
  <pageMargins left="0.7" right="0.7" top="0.75" bottom="0.75" header="0.3" footer="0.3"/>
  <pageSetup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1FB0-ADA6-4AF8-8A5E-A7744C00FF50}">
  <sheetPr>
    <tabColor theme="5" tint="0.39997558519241921"/>
  </sheetPr>
  <dimension ref="A1:H18"/>
  <sheetViews>
    <sheetView workbookViewId="0">
      <selection activeCell="L46" sqref="L46"/>
    </sheetView>
  </sheetViews>
  <sheetFormatPr defaultRowHeight="14.4" x14ac:dyDescent="0.3"/>
  <sheetData>
    <row r="1" spans="1:8" ht="15" thickBot="1" x14ac:dyDescent="0.35">
      <c r="A1" t="s">
        <v>707</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C12">
        <v>30</v>
      </c>
      <c r="D12" t="s">
        <v>706</v>
      </c>
    </row>
    <row r="13" spans="1:8" x14ac:dyDescent="0.3">
      <c r="C13">
        <v>60</v>
      </c>
      <c r="D13" t="s">
        <v>705</v>
      </c>
    </row>
    <row r="14" spans="1:8" x14ac:dyDescent="0.3">
      <c r="C14">
        <v>30</v>
      </c>
      <c r="D14" t="s">
        <v>704</v>
      </c>
    </row>
    <row r="15" spans="1:8" x14ac:dyDescent="0.3">
      <c r="C15">
        <v>90</v>
      </c>
      <c r="D15" t="s">
        <v>703</v>
      </c>
    </row>
    <row r="17" spans="3:7" ht="15" thickBot="1" x14ac:dyDescent="0.35"/>
    <row r="18" spans="3:7" ht="15" thickBot="1" x14ac:dyDescent="0.35">
      <c r="C18" s="182" t="s">
        <v>9</v>
      </c>
      <c r="D18" s="183"/>
      <c r="E18" s="183"/>
      <c r="F18" s="183"/>
      <c r="G18" s="184"/>
    </row>
  </sheetData>
  <mergeCells count="2">
    <mergeCell ref="C10:F10"/>
    <mergeCell ref="C18:G18"/>
  </mergeCells>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57C96-58E9-4367-8B77-23308FA00AD4}">
  <sheetPr>
    <tabColor theme="9" tint="0.59999389629810485"/>
  </sheetPr>
  <dimension ref="A1:K41"/>
  <sheetViews>
    <sheetView workbookViewId="0">
      <selection activeCell="R47" sqref="R47"/>
    </sheetView>
  </sheetViews>
  <sheetFormatPr defaultRowHeight="14.4" x14ac:dyDescent="0.3"/>
  <sheetData>
    <row r="1" spans="1:8" ht="15" thickBot="1" x14ac:dyDescent="0.35">
      <c r="A1" t="s">
        <v>707</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C12">
        <v>30</v>
      </c>
      <c r="D12" t="s">
        <v>706</v>
      </c>
    </row>
    <row r="13" spans="1:8" x14ac:dyDescent="0.3">
      <c r="C13">
        <v>60</v>
      </c>
      <c r="D13" t="s">
        <v>705</v>
      </c>
    </row>
    <row r="14" spans="1:8" x14ac:dyDescent="0.3">
      <c r="C14">
        <v>30</v>
      </c>
      <c r="D14" t="s">
        <v>704</v>
      </c>
    </row>
    <row r="15" spans="1:8" x14ac:dyDescent="0.3">
      <c r="C15">
        <v>90</v>
      </c>
      <c r="D15" t="s">
        <v>703</v>
      </c>
    </row>
    <row r="17" spans="3:7" ht="15" thickBot="1" x14ac:dyDescent="0.35"/>
    <row r="18" spans="3:7" ht="15" thickBot="1" x14ac:dyDescent="0.35">
      <c r="C18" s="182" t="s">
        <v>9</v>
      </c>
      <c r="D18" s="183"/>
      <c r="E18" s="183"/>
      <c r="F18" s="183"/>
      <c r="G18" s="184"/>
    </row>
    <row r="20" spans="3:7" x14ac:dyDescent="0.3">
      <c r="C20" t="s">
        <v>807</v>
      </c>
    </row>
    <row r="22" spans="3:7" x14ac:dyDescent="0.3">
      <c r="C22">
        <f>SUM(C12:C15)</f>
        <v>210</v>
      </c>
      <c r="D22" t="s">
        <v>806</v>
      </c>
    </row>
    <row r="23" spans="3:7" x14ac:dyDescent="0.3">
      <c r="C23">
        <f>(151-1)+C15</f>
        <v>240</v>
      </c>
      <c r="D23" t="s">
        <v>805</v>
      </c>
    </row>
    <row r="25" spans="3:7" x14ac:dyDescent="0.3">
      <c r="C25" s="70">
        <f>C22/C23</f>
        <v>0.875</v>
      </c>
      <c r="D25" t="s">
        <v>804</v>
      </c>
    </row>
    <row r="27" spans="3:7" x14ac:dyDescent="0.3">
      <c r="C27" t="s">
        <v>803</v>
      </c>
    </row>
    <row r="29" spans="3:7" x14ac:dyDescent="0.3">
      <c r="C29">
        <f>SUM(C12:C15)</f>
        <v>210</v>
      </c>
      <c r="D29" t="s">
        <v>802</v>
      </c>
    </row>
    <row r="30" spans="3:7" x14ac:dyDescent="0.3">
      <c r="C30">
        <v>365</v>
      </c>
      <c r="D30" t="s">
        <v>801</v>
      </c>
    </row>
    <row r="32" spans="3:7" x14ac:dyDescent="0.3">
      <c r="C32" s="70">
        <f>C29/C30</f>
        <v>0.57534246575342463</v>
      </c>
      <c r="D32" t="s">
        <v>800</v>
      </c>
    </row>
    <row r="34" spans="3:11" x14ac:dyDescent="0.3">
      <c r="C34" t="s">
        <v>799</v>
      </c>
    </row>
    <row r="35" spans="3:11" x14ac:dyDescent="0.3">
      <c r="C35" t="s">
        <v>798</v>
      </c>
    </row>
    <row r="36" spans="3:11" x14ac:dyDescent="0.3">
      <c r="C36">
        <f>365*0.8</f>
        <v>292</v>
      </c>
      <c r="D36" t="s">
        <v>796</v>
      </c>
    </row>
    <row r="37" spans="3:11" x14ac:dyDescent="0.3">
      <c r="C37" t="s">
        <v>797</v>
      </c>
    </row>
    <row r="38" spans="3:11" x14ac:dyDescent="0.3">
      <c r="C38">
        <f>C36-(30+60+30+90)</f>
        <v>82</v>
      </c>
      <c r="D38" t="s">
        <v>796</v>
      </c>
    </row>
    <row r="39" spans="3:11" x14ac:dyDescent="0.3">
      <c r="C39" s="20" t="s">
        <v>795</v>
      </c>
      <c r="D39" s="20"/>
      <c r="E39" s="20"/>
      <c r="F39" s="20"/>
      <c r="G39" s="20"/>
      <c r="H39" s="20"/>
      <c r="I39" s="20"/>
      <c r="J39" s="20"/>
      <c r="K39" s="20"/>
    </row>
    <row r="41" spans="3:11" x14ac:dyDescent="0.3">
      <c r="C41" s="20" t="s">
        <v>794</v>
      </c>
      <c r="D41" s="20"/>
      <c r="E41" s="20"/>
      <c r="F41" s="20"/>
      <c r="G41" s="20"/>
      <c r="H41" s="20"/>
    </row>
  </sheetData>
  <mergeCells count="2">
    <mergeCell ref="C10:F10"/>
    <mergeCell ref="C18:G18"/>
  </mergeCells>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24486-05F9-4CE8-8F84-F725565DA5C9}">
  <sheetPr>
    <tabColor theme="1"/>
  </sheetPr>
  <dimension ref="A1"/>
  <sheetViews>
    <sheetView workbookViewId="0"/>
  </sheetViews>
  <sheetFormatPr defaultRowHeight="14.4" x14ac:dyDescent="0.3"/>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AC567-9513-4EDB-879A-08A60143B80F}">
  <sheetPr>
    <tabColor theme="5" tint="0.39997558519241921"/>
  </sheetPr>
  <dimension ref="A1:M30"/>
  <sheetViews>
    <sheetView workbookViewId="0">
      <selection activeCell="I49" sqref="I49"/>
    </sheetView>
  </sheetViews>
  <sheetFormatPr defaultRowHeight="14.4" x14ac:dyDescent="0.3"/>
  <cols>
    <col min="3" max="3" width="41.33203125" customWidth="1"/>
    <col min="4" max="4" width="14.6640625" customWidth="1"/>
    <col min="5" max="5" width="13.109375" customWidth="1"/>
    <col min="6" max="6" width="11" bestFit="1" customWidth="1"/>
    <col min="9" max="9" width="20" customWidth="1"/>
    <col min="10" max="10" width="14.33203125" bestFit="1" customWidth="1"/>
    <col min="11" max="12" width="13.33203125" bestFit="1" customWidth="1"/>
  </cols>
  <sheetData>
    <row r="1" spans="1:13" ht="15" thickBot="1" x14ac:dyDescent="0.35">
      <c r="A1" t="s">
        <v>821</v>
      </c>
      <c r="G1" s="25" t="s">
        <v>40</v>
      </c>
      <c r="H1" s="24"/>
    </row>
    <row r="2" spans="1:13" x14ac:dyDescent="0.3">
      <c r="G2" s="23" t="s">
        <v>39</v>
      </c>
      <c r="H2" s="23"/>
    </row>
    <row r="3" spans="1:13" ht="15" thickBot="1" x14ac:dyDescent="0.35">
      <c r="G3" s="22" t="s">
        <v>38</v>
      </c>
      <c r="H3" s="22"/>
    </row>
    <row r="4" spans="1:13" ht="15.6" thickTop="1" thickBot="1" x14ac:dyDescent="0.35">
      <c r="G4" s="21" t="s">
        <v>37</v>
      </c>
      <c r="H4" s="21"/>
    </row>
    <row r="5" spans="1:13" ht="15" thickTop="1" x14ac:dyDescent="0.3">
      <c r="G5" s="20" t="s">
        <v>36</v>
      </c>
      <c r="H5" s="19"/>
    </row>
    <row r="9" spans="1:13" ht="15" thickBot="1" x14ac:dyDescent="0.35"/>
    <row r="10" spans="1:13" ht="15" thickBot="1" x14ac:dyDescent="0.35">
      <c r="C10" s="182" t="s">
        <v>16</v>
      </c>
      <c r="D10" s="183"/>
      <c r="E10" s="183"/>
      <c r="F10" s="184"/>
    </row>
    <row r="13" spans="1:13" ht="15" thickBot="1" x14ac:dyDescent="0.35"/>
    <row r="14" spans="1:13" ht="15" thickBot="1" x14ac:dyDescent="0.35">
      <c r="C14" s="182" t="s">
        <v>10</v>
      </c>
      <c r="D14" s="183"/>
      <c r="E14" s="183"/>
      <c r="F14" s="183"/>
      <c r="G14" s="184"/>
      <c r="I14" s="182" t="s">
        <v>9</v>
      </c>
      <c r="J14" s="183"/>
      <c r="K14" s="183"/>
      <c r="L14" s="183"/>
      <c r="M14" s="184"/>
    </row>
    <row r="17" spans="3:6" x14ac:dyDescent="0.3">
      <c r="D17" t="s">
        <v>820</v>
      </c>
      <c r="E17" t="s">
        <v>819</v>
      </c>
      <c r="F17" t="s">
        <v>818</v>
      </c>
    </row>
    <row r="18" spans="3:6" x14ac:dyDescent="0.3">
      <c r="C18" t="s">
        <v>817</v>
      </c>
      <c r="D18" s="32">
        <v>0.7</v>
      </c>
      <c r="E18" s="32">
        <v>0.7</v>
      </c>
      <c r="F18" s="32">
        <v>0.7</v>
      </c>
    </row>
    <row r="19" spans="3:6" x14ac:dyDescent="0.3">
      <c r="C19" t="s">
        <v>816</v>
      </c>
      <c r="D19" s="32">
        <v>1.952</v>
      </c>
      <c r="E19" s="32">
        <v>1.952</v>
      </c>
      <c r="F19" s="32">
        <v>1.952</v>
      </c>
    </row>
    <row r="20" spans="3:6" x14ac:dyDescent="0.3">
      <c r="C20" s="18" t="s">
        <v>815</v>
      </c>
      <c r="D20" s="131">
        <v>24000</v>
      </c>
      <c r="E20" s="131">
        <v>9600</v>
      </c>
      <c r="F20" s="131">
        <v>14400</v>
      </c>
    </row>
    <row r="21" spans="3:6" x14ac:dyDescent="0.3">
      <c r="C21" s="18" t="s">
        <v>814</v>
      </c>
      <c r="D21" s="32">
        <v>1.0367999999999999</v>
      </c>
      <c r="E21" s="32">
        <v>0.93600000000000005</v>
      </c>
      <c r="F21" s="32">
        <v>1.1040000000000001</v>
      </c>
    </row>
    <row r="22" spans="3:6" x14ac:dyDescent="0.3">
      <c r="C22" s="18"/>
      <c r="D22" s="32"/>
      <c r="E22" s="32"/>
      <c r="F22" s="32"/>
    </row>
    <row r="23" spans="3:6" x14ac:dyDescent="0.3">
      <c r="C23" s="18"/>
      <c r="D23" s="32"/>
      <c r="E23" s="32"/>
      <c r="F23" s="32"/>
    </row>
    <row r="24" spans="3:6" x14ac:dyDescent="0.3">
      <c r="C24" s="18" t="s">
        <v>813</v>
      </c>
      <c r="D24" s="160">
        <v>500</v>
      </c>
      <c r="E24" s="160">
        <v>440</v>
      </c>
      <c r="F24" s="160">
        <v>540</v>
      </c>
    </row>
    <row r="25" spans="3:6" x14ac:dyDescent="0.3">
      <c r="C25" s="18" t="s">
        <v>812</v>
      </c>
      <c r="D25" s="160">
        <v>12000000</v>
      </c>
      <c r="E25" s="32" t="s">
        <v>70</v>
      </c>
      <c r="F25" s="32" t="s">
        <v>69</v>
      </c>
    </row>
    <row r="26" spans="3:6" x14ac:dyDescent="0.3">
      <c r="C26" s="18" t="s">
        <v>811</v>
      </c>
      <c r="D26" s="32" t="s">
        <v>79</v>
      </c>
      <c r="E26" s="161">
        <v>0.85</v>
      </c>
      <c r="F26" s="161">
        <v>0.85</v>
      </c>
    </row>
    <row r="27" spans="3:6" x14ac:dyDescent="0.3">
      <c r="C27" s="18" t="s">
        <v>226</v>
      </c>
      <c r="D27" s="160">
        <v>10200000</v>
      </c>
      <c r="E27" s="160">
        <v>3590400</v>
      </c>
      <c r="F27" s="160">
        <v>6609600</v>
      </c>
    </row>
    <row r="28" spans="3:6" x14ac:dyDescent="0.3">
      <c r="C28" s="18" t="s">
        <v>810</v>
      </c>
      <c r="D28" s="32" t="s">
        <v>68</v>
      </c>
      <c r="E28" s="32" t="s">
        <v>204</v>
      </c>
      <c r="F28" s="32" t="s">
        <v>203</v>
      </c>
    </row>
    <row r="29" spans="3:6" x14ac:dyDescent="0.3">
      <c r="C29" s="18" t="s">
        <v>809</v>
      </c>
      <c r="D29" s="32"/>
      <c r="E29" s="32" t="s">
        <v>202</v>
      </c>
      <c r="F29" s="32" t="s">
        <v>201</v>
      </c>
    </row>
    <row r="30" spans="3:6" x14ac:dyDescent="0.3">
      <c r="C30" s="18" t="s">
        <v>808</v>
      </c>
      <c r="D30" s="32"/>
      <c r="E30" s="32" t="s">
        <v>200</v>
      </c>
      <c r="F30" s="32" t="s">
        <v>199</v>
      </c>
    </row>
  </sheetData>
  <mergeCells count="3">
    <mergeCell ref="C10:F10"/>
    <mergeCell ref="C14:G14"/>
    <mergeCell ref="I14:M1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48995-C484-4B77-8E42-F4D2F4FB350F}">
  <sheetPr>
    <tabColor theme="9" tint="0.59999389629810485"/>
  </sheetPr>
  <dimension ref="A1:T61"/>
  <sheetViews>
    <sheetView workbookViewId="0">
      <selection activeCell="A3" sqref="A3"/>
    </sheetView>
  </sheetViews>
  <sheetFormatPr defaultRowHeight="14.4" x14ac:dyDescent="0.3"/>
  <cols>
    <col min="3" max="3" width="11.6640625" customWidth="1"/>
    <col min="10" max="10" width="12.21875" customWidth="1"/>
    <col min="11" max="11" width="9.6640625" customWidth="1"/>
    <col min="12" max="12" width="13" customWidth="1"/>
    <col min="13" max="13" width="10.33203125" bestFit="1" customWidth="1"/>
  </cols>
  <sheetData>
    <row r="1" spans="1:8" ht="15" thickBot="1" x14ac:dyDescent="0.35">
      <c r="A1" t="s">
        <v>67</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D12" t="s">
        <v>66</v>
      </c>
    </row>
    <row r="13" spans="1:8" x14ac:dyDescent="0.3">
      <c r="C13">
        <v>1.25</v>
      </c>
      <c r="D13" t="s">
        <v>65</v>
      </c>
    </row>
    <row r="14" spans="1:8" x14ac:dyDescent="0.3">
      <c r="C14">
        <v>1.1499999999999999</v>
      </c>
      <c r="D14" t="s">
        <v>64</v>
      </c>
    </row>
    <row r="15" spans="1:8" x14ac:dyDescent="0.3">
      <c r="C15">
        <v>1</v>
      </c>
      <c r="D15" t="s">
        <v>63</v>
      </c>
    </row>
    <row r="16" spans="1:8" x14ac:dyDescent="0.3">
      <c r="C16">
        <v>0.5</v>
      </c>
      <c r="D16" t="s">
        <v>62</v>
      </c>
    </row>
    <row r="17" spans="3:13" x14ac:dyDescent="0.3">
      <c r="C17">
        <v>0.8</v>
      </c>
      <c r="D17" t="s">
        <v>61</v>
      </c>
    </row>
    <row r="18" spans="3:13" x14ac:dyDescent="0.3">
      <c r="C18">
        <v>0.03</v>
      </c>
      <c r="D18" t="s">
        <v>60</v>
      </c>
    </row>
    <row r="19" spans="3:13" x14ac:dyDescent="0.3">
      <c r="C19" s="5">
        <v>10500</v>
      </c>
      <c r="D19" t="s">
        <v>59</v>
      </c>
    </row>
    <row r="20" spans="3:13" x14ac:dyDescent="0.3">
      <c r="C20" s="28">
        <v>11100</v>
      </c>
      <c r="D20" t="s">
        <v>58</v>
      </c>
    </row>
    <row r="21" spans="3:13" x14ac:dyDescent="0.3">
      <c r="C21">
        <f>1/3</f>
        <v>0.33333333333333331</v>
      </c>
      <c r="D21" t="s">
        <v>57</v>
      </c>
    </row>
    <row r="27" spans="3:13" ht="15" thickBot="1" x14ac:dyDescent="0.35"/>
    <row r="28" spans="3:13" ht="15" thickBot="1" x14ac:dyDescent="0.35">
      <c r="C28" s="182" t="s">
        <v>10</v>
      </c>
      <c r="D28" s="183"/>
      <c r="E28" s="183"/>
      <c r="F28" s="183"/>
      <c r="G28" s="184"/>
      <c r="I28" s="182" t="s">
        <v>9</v>
      </c>
      <c r="J28" s="183"/>
      <c r="K28" s="183"/>
      <c r="L28" s="183"/>
      <c r="M28" s="184"/>
    </row>
    <row r="32" spans="3:13" x14ac:dyDescent="0.3">
      <c r="D32">
        <v>2018</v>
      </c>
      <c r="E32">
        <v>2019</v>
      </c>
      <c r="F32">
        <v>2020</v>
      </c>
      <c r="J32" s="32" t="s">
        <v>372</v>
      </c>
      <c r="K32" s="32" t="s">
        <v>371</v>
      </c>
      <c r="L32" s="32" t="s">
        <v>370</v>
      </c>
    </row>
    <row r="33" spans="4:20" x14ac:dyDescent="0.3">
      <c r="D33" s="28">
        <v>955</v>
      </c>
      <c r="E33" s="28">
        <v>1010</v>
      </c>
      <c r="F33" s="28">
        <v>1110</v>
      </c>
      <c r="I33" t="s">
        <v>377</v>
      </c>
      <c r="J33" s="28">
        <f>D33</f>
        <v>955</v>
      </c>
      <c r="K33" s="28">
        <f>E33</f>
        <v>1010</v>
      </c>
      <c r="L33" s="28">
        <f>F33</f>
        <v>1110</v>
      </c>
      <c r="M33" s="23" t="s">
        <v>376</v>
      </c>
      <c r="N33" s="23"/>
      <c r="O33" s="23"/>
      <c r="P33" s="23"/>
      <c r="Q33" s="23"/>
      <c r="R33" s="23"/>
      <c r="S33" s="23"/>
      <c r="T33" s="23"/>
    </row>
    <row r="35" spans="4:20" x14ac:dyDescent="0.3">
      <c r="L35" s="28"/>
    </row>
    <row r="38" spans="4:20" x14ac:dyDescent="0.3">
      <c r="L38" s="28"/>
    </row>
    <row r="40" spans="4:20" x14ac:dyDescent="0.3">
      <c r="I40" t="s">
        <v>44</v>
      </c>
      <c r="J40" t="s">
        <v>375</v>
      </c>
      <c r="K40" t="s">
        <v>374</v>
      </c>
      <c r="L40" t="s">
        <v>373</v>
      </c>
      <c r="M40" t="s">
        <v>245</v>
      </c>
    </row>
    <row r="41" spans="4:20" x14ac:dyDescent="0.3">
      <c r="I41">
        <f>D32</f>
        <v>2018</v>
      </c>
      <c r="J41" s="32" t="s">
        <v>372</v>
      </c>
      <c r="K41">
        <f>$C$13</f>
        <v>1.25</v>
      </c>
      <c r="L41" s="76">
        <f>$C$15</f>
        <v>1</v>
      </c>
      <c r="M41" s="28">
        <f>J33*12</f>
        <v>11460</v>
      </c>
    </row>
    <row r="42" spans="4:20" x14ac:dyDescent="0.3">
      <c r="I42">
        <f>E32</f>
        <v>2019</v>
      </c>
      <c r="J42" s="32" t="s">
        <v>371</v>
      </c>
      <c r="K42">
        <f>$C$13</f>
        <v>1.25</v>
      </c>
      <c r="L42" s="76">
        <f>$C$15</f>
        <v>1</v>
      </c>
      <c r="M42" s="28">
        <f>K33*12</f>
        <v>12120</v>
      </c>
    </row>
    <row r="43" spans="4:20" x14ac:dyDescent="0.3">
      <c r="I43">
        <f>F32</f>
        <v>2020</v>
      </c>
      <c r="J43" s="32" t="s">
        <v>370</v>
      </c>
      <c r="K43">
        <f>$C$13</f>
        <v>1.25</v>
      </c>
      <c r="L43" s="76">
        <f>$C$15</f>
        <v>1</v>
      </c>
      <c r="M43" s="28">
        <f>L33*12</f>
        <v>13320</v>
      </c>
    </row>
    <row r="44" spans="4:20" x14ac:dyDescent="0.3">
      <c r="I44">
        <f>I43+1</f>
        <v>2021</v>
      </c>
      <c r="J44" s="32" t="s">
        <v>369</v>
      </c>
      <c r="K44">
        <f>$C$14</f>
        <v>1.1499999999999999</v>
      </c>
      <c r="L44" s="76">
        <f>$C$15</f>
        <v>1</v>
      </c>
      <c r="M44" s="28">
        <f>C20</f>
        <v>11100</v>
      </c>
    </row>
    <row r="45" spans="4:20" x14ac:dyDescent="0.3">
      <c r="J45" s="32"/>
      <c r="L45" s="76"/>
    </row>
    <row r="46" spans="4:20" x14ac:dyDescent="0.3">
      <c r="J46" s="32"/>
      <c r="L46" s="76"/>
    </row>
    <row r="49" spans="12:20" x14ac:dyDescent="0.3">
      <c r="L49" s="28">
        <f>M41*(K43/K41)*L42*L43</f>
        <v>11460</v>
      </c>
      <c r="M49" t="s">
        <v>368</v>
      </c>
    </row>
    <row r="50" spans="12:20" x14ac:dyDescent="0.3">
      <c r="L50" s="28">
        <f>M42*(K42/K43)*L43</f>
        <v>12120</v>
      </c>
      <c r="M50" t="s">
        <v>367</v>
      </c>
    </row>
    <row r="51" spans="12:20" x14ac:dyDescent="0.3">
      <c r="L51" s="75">
        <f>M43*(K43/K43)</f>
        <v>13320</v>
      </c>
      <c r="M51" s="73" t="s">
        <v>366</v>
      </c>
      <c r="N51" s="73"/>
      <c r="O51" s="73"/>
    </row>
    <row r="52" spans="12:20" x14ac:dyDescent="0.3">
      <c r="L52" s="28">
        <f>SUM(L49:L51)*C21</f>
        <v>12300</v>
      </c>
      <c r="M52" t="s">
        <v>365</v>
      </c>
    </row>
    <row r="54" spans="12:20" x14ac:dyDescent="0.3">
      <c r="L54">
        <f>K44/K43</f>
        <v>0.91999999999999993</v>
      </c>
      <c r="M54" t="s">
        <v>364</v>
      </c>
    </row>
    <row r="55" spans="12:20" x14ac:dyDescent="0.3">
      <c r="L55" s="74">
        <f>L44</f>
        <v>1</v>
      </c>
      <c r="M55" s="73" t="s">
        <v>363</v>
      </c>
      <c r="N55" s="73"/>
    </row>
    <row r="56" spans="12:20" x14ac:dyDescent="0.3">
      <c r="L56" s="28">
        <f>L52*L54*L55</f>
        <v>11316</v>
      </c>
      <c r="M56" t="s">
        <v>362</v>
      </c>
      <c r="Q56" s="28"/>
    </row>
    <row r="59" spans="12:20" x14ac:dyDescent="0.3">
      <c r="L59" s="28">
        <f>(L56-M44)*C19</f>
        <v>2268000</v>
      </c>
      <c r="M59" t="s">
        <v>361</v>
      </c>
    </row>
    <row r="60" spans="12:20" x14ac:dyDescent="0.3">
      <c r="L60" s="28">
        <f>C18*L56*C19</f>
        <v>3564539.9999999995</v>
      </c>
      <c r="M60" t="s">
        <v>360</v>
      </c>
    </row>
    <row r="61" spans="12:20" x14ac:dyDescent="0.3">
      <c r="L61" s="19">
        <v>0</v>
      </c>
      <c r="M61" s="23" t="s">
        <v>359</v>
      </c>
      <c r="N61" s="23"/>
      <c r="O61" s="23"/>
      <c r="P61" s="23"/>
      <c r="Q61" s="23"/>
      <c r="R61" s="23"/>
      <c r="S61" s="23"/>
      <c r="T61" s="23"/>
    </row>
  </sheetData>
  <mergeCells count="3">
    <mergeCell ref="C10:F10"/>
    <mergeCell ref="C28:G28"/>
    <mergeCell ref="I28:M28"/>
  </mergeCells>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A6D85-FA56-4163-867E-80119C2C5662}">
  <sheetPr>
    <tabColor theme="9" tint="0.59999389629810485"/>
  </sheetPr>
  <dimension ref="A1:Q55"/>
  <sheetViews>
    <sheetView workbookViewId="0">
      <selection activeCell="P48" sqref="P48"/>
    </sheetView>
  </sheetViews>
  <sheetFormatPr defaultRowHeight="14.4" x14ac:dyDescent="0.3"/>
  <cols>
    <col min="3" max="3" width="41.33203125" customWidth="1"/>
    <col min="4" max="4" width="14.6640625" customWidth="1"/>
    <col min="5" max="5" width="13.109375" customWidth="1"/>
    <col min="6" max="6" width="11" bestFit="1" customWidth="1"/>
    <col min="9" max="9" width="20" customWidth="1"/>
    <col min="10" max="10" width="14.33203125" bestFit="1" customWidth="1"/>
    <col min="11" max="12" width="13.33203125" bestFit="1" customWidth="1"/>
  </cols>
  <sheetData>
    <row r="1" spans="1:13" ht="15" thickBot="1" x14ac:dyDescent="0.35">
      <c r="A1" t="s">
        <v>821</v>
      </c>
      <c r="G1" s="25" t="s">
        <v>40</v>
      </c>
      <c r="H1" s="24"/>
    </row>
    <row r="2" spans="1:13" x14ac:dyDescent="0.3">
      <c r="G2" s="23" t="s">
        <v>39</v>
      </c>
      <c r="H2" s="23"/>
    </row>
    <row r="3" spans="1:13" ht="15" thickBot="1" x14ac:dyDescent="0.35">
      <c r="G3" s="22" t="s">
        <v>38</v>
      </c>
      <c r="H3" s="22"/>
    </row>
    <row r="4" spans="1:13" ht="15.6" thickTop="1" thickBot="1" x14ac:dyDescent="0.35">
      <c r="G4" s="21" t="s">
        <v>37</v>
      </c>
      <c r="H4" s="21"/>
    </row>
    <row r="5" spans="1:13" ht="15" thickTop="1" x14ac:dyDescent="0.3">
      <c r="G5" s="20" t="s">
        <v>36</v>
      </c>
      <c r="H5" s="19"/>
    </row>
    <row r="9" spans="1:13" ht="15" thickBot="1" x14ac:dyDescent="0.35"/>
    <row r="10" spans="1:13" ht="15" thickBot="1" x14ac:dyDescent="0.35">
      <c r="C10" s="182" t="s">
        <v>16</v>
      </c>
      <c r="D10" s="183"/>
      <c r="E10" s="183"/>
      <c r="F10" s="184"/>
    </row>
    <row r="13" spans="1:13" ht="15" thickBot="1" x14ac:dyDescent="0.35"/>
    <row r="14" spans="1:13" ht="15" thickBot="1" x14ac:dyDescent="0.35">
      <c r="C14" s="182" t="s">
        <v>10</v>
      </c>
      <c r="D14" s="183"/>
      <c r="E14" s="183"/>
      <c r="F14" s="183"/>
      <c r="G14" s="184"/>
      <c r="I14" s="182" t="s">
        <v>9</v>
      </c>
      <c r="J14" s="183"/>
      <c r="K14" s="183"/>
      <c r="L14" s="183"/>
      <c r="M14" s="184"/>
    </row>
    <row r="17" spans="3:17" x14ac:dyDescent="0.3">
      <c r="D17" t="s">
        <v>820</v>
      </c>
      <c r="E17" t="s">
        <v>819</v>
      </c>
      <c r="F17" t="s">
        <v>818</v>
      </c>
      <c r="J17" s="35" t="s">
        <v>820</v>
      </c>
      <c r="K17" s="35" t="s">
        <v>819</v>
      </c>
      <c r="L17" s="35" t="s">
        <v>818</v>
      </c>
    </row>
    <row r="18" spans="3:17" x14ac:dyDescent="0.3">
      <c r="C18" t="s">
        <v>817</v>
      </c>
      <c r="D18" s="32">
        <v>0.7</v>
      </c>
      <c r="E18" s="32">
        <v>0.7</v>
      </c>
      <c r="F18" s="32">
        <v>0.7</v>
      </c>
      <c r="I18" s="18" t="s">
        <v>945</v>
      </c>
      <c r="J18" s="32">
        <f>D18</f>
        <v>0.7</v>
      </c>
      <c r="K18" s="32">
        <f>E18</f>
        <v>0.7</v>
      </c>
      <c r="L18" s="32">
        <f>F18</f>
        <v>0.7</v>
      </c>
    </row>
    <row r="19" spans="3:17" x14ac:dyDescent="0.3">
      <c r="C19" t="s">
        <v>816</v>
      </c>
      <c r="D19" s="32">
        <v>1.952</v>
      </c>
      <c r="E19" s="32">
        <v>1.952</v>
      </c>
      <c r="F19" s="32">
        <v>1.952</v>
      </c>
      <c r="I19" s="18" t="s">
        <v>944</v>
      </c>
      <c r="J19" s="32">
        <f>D21</f>
        <v>1.0367999999999999</v>
      </c>
      <c r="K19" s="32">
        <f>E21</f>
        <v>0.93600000000000005</v>
      </c>
      <c r="L19" s="32">
        <f>F21</f>
        <v>1.1040000000000001</v>
      </c>
    </row>
    <row r="20" spans="3:17" x14ac:dyDescent="0.3">
      <c r="C20" s="18" t="s">
        <v>815</v>
      </c>
      <c r="D20" s="131">
        <v>24000</v>
      </c>
      <c r="E20" s="131">
        <v>9600</v>
      </c>
      <c r="F20" s="131">
        <v>14400</v>
      </c>
      <c r="I20" s="18" t="s">
        <v>943</v>
      </c>
      <c r="J20" s="32">
        <f>D19</f>
        <v>1.952</v>
      </c>
      <c r="K20" s="32">
        <f>E19</f>
        <v>1.952</v>
      </c>
      <c r="L20" s="32">
        <f>F19</f>
        <v>1.952</v>
      </c>
    </row>
    <row r="21" spans="3:17" x14ac:dyDescent="0.3">
      <c r="C21" s="18" t="s">
        <v>814</v>
      </c>
      <c r="D21" s="32">
        <v>1.0367999999999999</v>
      </c>
      <c r="E21" s="32">
        <v>0.93600000000000005</v>
      </c>
      <c r="F21" s="32">
        <v>1.1040000000000001</v>
      </c>
      <c r="I21" s="18" t="s">
        <v>894</v>
      </c>
      <c r="J21" s="32"/>
      <c r="K21" s="32">
        <v>1</v>
      </c>
      <c r="L21" s="32">
        <f>K21</f>
        <v>1</v>
      </c>
      <c r="M21" s="23" t="s">
        <v>942</v>
      </c>
      <c r="N21" s="23"/>
      <c r="O21" s="23"/>
      <c r="P21" s="23"/>
      <c r="Q21" s="23"/>
    </row>
    <row r="22" spans="3:17" x14ac:dyDescent="0.3">
      <c r="C22" s="18"/>
      <c r="D22" s="32"/>
      <c r="E22" s="32"/>
      <c r="F22" s="32"/>
      <c r="I22" s="18" t="s">
        <v>941</v>
      </c>
      <c r="J22" s="32"/>
      <c r="K22" s="32">
        <v>1</v>
      </c>
      <c r="L22" s="32">
        <f>K22</f>
        <v>1</v>
      </c>
    </row>
    <row r="23" spans="3:17" x14ac:dyDescent="0.3">
      <c r="C23" s="18"/>
      <c r="D23" s="32"/>
      <c r="E23" s="32"/>
      <c r="F23" s="32"/>
      <c r="I23" s="18"/>
      <c r="J23" s="32"/>
      <c r="K23" s="32"/>
      <c r="L23" s="32"/>
    </row>
    <row r="24" spans="3:17" x14ac:dyDescent="0.3">
      <c r="C24" s="18" t="s">
        <v>813</v>
      </c>
      <c r="D24" s="160">
        <v>500</v>
      </c>
      <c r="E24" s="160">
        <v>440</v>
      </c>
      <c r="F24" s="160">
        <v>540</v>
      </c>
      <c r="I24" s="18" t="s">
        <v>940</v>
      </c>
      <c r="J24" s="160">
        <f>D24</f>
        <v>500</v>
      </c>
      <c r="K24" s="160">
        <f>E24</f>
        <v>440</v>
      </c>
      <c r="L24" s="160">
        <f>F24</f>
        <v>540</v>
      </c>
    </row>
    <row r="25" spans="3:17" x14ac:dyDescent="0.3">
      <c r="C25" s="18" t="s">
        <v>812</v>
      </c>
      <c r="D25" s="160">
        <v>12000000</v>
      </c>
      <c r="E25" s="32" t="s">
        <v>70</v>
      </c>
      <c r="F25" s="32" t="s">
        <v>69</v>
      </c>
      <c r="J25" s="32"/>
      <c r="K25" s="32"/>
      <c r="L25" s="32"/>
    </row>
    <row r="26" spans="3:17" x14ac:dyDescent="0.3">
      <c r="C26" s="18" t="s">
        <v>811</v>
      </c>
      <c r="D26" s="32" t="s">
        <v>79</v>
      </c>
      <c r="E26" s="161">
        <v>0.85</v>
      </c>
      <c r="F26" s="161">
        <v>0.85</v>
      </c>
      <c r="J26" s="32"/>
      <c r="K26" s="32"/>
      <c r="L26" s="32"/>
    </row>
    <row r="27" spans="3:17" x14ac:dyDescent="0.3">
      <c r="C27" s="18" t="s">
        <v>226</v>
      </c>
      <c r="D27" s="160">
        <v>10200000</v>
      </c>
      <c r="E27" s="160">
        <v>3590400</v>
      </c>
      <c r="F27" s="160">
        <v>6609600</v>
      </c>
      <c r="J27" s="35" t="s">
        <v>820</v>
      </c>
      <c r="K27" s="35" t="s">
        <v>819</v>
      </c>
      <c r="L27" s="35" t="s">
        <v>818</v>
      </c>
    </row>
    <row r="28" spans="3:17" x14ac:dyDescent="0.3">
      <c r="C28" s="18" t="s">
        <v>810</v>
      </c>
      <c r="D28" s="32" t="s">
        <v>68</v>
      </c>
      <c r="E28" s="32" t="s">
        <v>204</v>
      </c>
      <c r="F28" s="32" t="s">
        <v>203</v>
      </c>
      <c r="I28" t="s">
        <v>939</v>
      </c>
      <c r="J28" s="131">
        <f>D20</f>
        <v>24000</v>
      </c>
      <c r="K28" s="131">
        <f>E20</f>
        <v>9600</v>
      </c>
      <c r="L28" s="131">
        <f>F20</f>
        <v>14400</v>
      </c>
    </row>
    <row r="29" spans="3:17" x14ac:dyDescent="0.3">
      <c r="C29" s="18" t="s">
        <v>809</v>
      </c>
      <c r="D29" s="32"/>
      <c r="E29" s="32" t="s">
        <v>202</v>
      </c>
      <c r="F29" s="32" t="s">
        <v>201</v>
      </c>
      <c r="J29" s="32"/>
      <c r="K29" s="88">
        <f>K28/$J$28</f>
        <v>0.4</v>
      </c>
      <c r="L29" s="88">
        <f>L28/$J$28</f>
        <v>0.6</v>
      </c>
    </row>
    <row r="30" spans="3:17" x14ac:dyDescent="0.3">
      <c r="C30" s="18" t="s">
        <v>808</v>
      </c>
      <c r="D30" s="32"/>
      <c r="E30" s="32" t="s">
        <v>200</v>
      </c>
      <c r="F30" s="32" t="s">
        <v>199</v>
      </c>
      <c r="J30" s="32"/>
      <c r="K30" s="32"/>
      <c r="L30" s="32"/>
    </row>
    <row r="31" spans="3:17" x14ac:dyDescent="0.3">
      <c r="J31" s="32"/>
      <c r="K31" s="32"/>
      <c r="L31" s="32"/>
    </row>
    <row r="32" spans="3:17" x14ac:dyDescent="0.3">
      <c r="J32" s="32"/>
      <c r="K32" s="32"/>
      <c r="L32" s="32"/>
    </row>
    <row r="33" spans="9:16" x14ac:dyDescent="0.3">
      <c r="J33" s="35" t="s">
        <v>820</v>
      </c>
      <c r="K33" s="35" t="s">
        <v>819</v>
      </c>
      <c r="L33" s="35" t="s">
        <v>818</v>
      </c>
    </row>
    <row r="34" spans="9:16" x14ac:dyDescent="0.3">
      <c r="I34" t="s">
        <v>540</v>
      </c>
      <c r="J34" s="32"/>
      <c r="K34" s="32">
        <f t="shared" ref="K34:L38" si="0">K18</f>
        <v>0.7</v>
      </c>
      <c r="L34" s="32">
        <f t="shared" si="0"/>
        <v>0.7</v>
      </c>
    </row>
    <row r="35" spans="9:16" x14ac:dyDescent="0.3">
      <c r="I35" t="s">
        <v>938</v>
      </c>
      <c r="J35" s="172">
        <f>J19</f>
        <v>1.0367999999999999</v>
      </c>
      <c r="K35" s="32">
        <f t="shared" si="0"/>
        <v>0.93600000000000005</v>
      </c>
      <c r="L35" s="32">
        <f t="shared" si="0"/>
        <v>1.1040000000000001</v>
      </c>
    </row>
    <row r="36" spans="9:16" x14ac:dyDescent="0.3">
      <c r="I36" t="s">
        <v>937</v>
      </c>
      <c r="J36" s="32">
        <f>J20</f>
        <v>1.952</v>
      </c>
      <c r="K36" s="32">
        <f t="shared" si="0"/>
        <v>1.952</v>
      </c>
      <c r="L36" s="32">
        <f t="shared" si="0"/>
        <v>1.952</v>
      </c>
    </row>
    <row r="37" spans="9:16" x14ac:dyDescent="0.3">
      <c r="I37" t="s">
        <v>936</v>
      </c>
      <c r="J37" s="32">
        <f>J21</f>
        <v>0</v>
      </c>
      <c r="K37" s="32">
        <f t="shared" si="0"/>
        <v>1</v>
      </c>
      <c r="L37" s="32">
        <f t="shared" si="0"/>
        <v>1</v>
      </c>
    </row>
    <row r="38" spans="9:16" x14ac:dyDescent="0.3">
      <c r="I38" t="s">
        <v>935</v>
      </c>
      <c r="J38" s="32">
        <f>J22</f>
        <v>0</v>
      </c>
      <c r="K38" s="32">
        <f t="shared" si="0"/>
        <v>1</v>
      </c>
      <c r="L38" s="32">
        <f t="shared" si="0"/>
        <v>1</v>
      </c>
    </row>
    <row r="39" spans="9:16" x14ac:dyDescent="0.3">
      <c r="J39" s="32"/>
      <c r="K39" s="32"/>
      <c r="L39" s="32"/>
    </row>
    <row r="40" spans="9:16" x14ac:dyDescent="0.3">
      <c r="I40" t="s">
        <v>934</v>
      </c>
      <c r="J40" s="160">
        <f>J24</f>
        <v>500</v>
      </c>
      <c r="K40" s="160">
        <f>K24</f>
        <v>440</v>
      </c>
      <c r="L40" s="160">
        <f>L24</f>
        <v>540</v>
      </c>
    </row>
    <row r="41" spans="9:16" x14ac:dyDescent="0.3">
      <c r="I41" t="s">
        <v>464</v>
      </c>
      <c r="J41" s="131">
        <f>J28</f>
        <v>24000</v>
      </c>
      <c r="K41" s="131">
        <f>K28</f>
        <v>9600</v>
      </c>
      <c r="L41" s="131">
        <f>L28</f>
        <v>14400</v>
      </c>
    </row>
    <row r="42" spans="9:16" x14ac:dyDescent="0.3">
      <c r="J42" s="32"/>
      <c r="K42" s="32"/>
      <c r="L42" s="32"/>
    </row>
    <row r="43" spans="9:16" x14ac:dyDescent="0.3">
      <c r="J43" s="32"/>
      <c r="K43" s="32"/>
      <c r="L43" s="32"/>
    </row>
    <row r="44" spans="9:16" x14ac:dyDescent="0.3">
      <c r="I44" t="s">
        <v>933</v>
      </c>
      <c r="J44" s="32">
        <f>(K29*K35*K37*K38+L29*L35*L37*L38)</f>
        <v>1.0367999999999999</v>
      </c>
      <c r="K44" s="172">
        <f>(K35*K37*K38)</f>
        <v>0.93600000000000005</v>
      </c>
      <c r="L44" s="172">
        <f>(L35*L37*L38)</f>
        <v>1.1040000000000001</v>
      </c>
      <c r="M44" s="23" t="s">
        <v>932</v>
      </c>
      <c r="N44" s="23"/>
      <c r="O44" s="23"/>
      <c r="P44" s="23"/>
    </row>
    <row r="45" spans="9:16" x14ac:dyDescent="0.3">
      <c r="I45" t="s">
        <v>931</v>
      </c>
      <c r="J45" s="32">
        <f>K29*K34*K36*K37*K38+L29*L34*L36*L37*L38</f>
        <v>1.3663999999999998</v>
      </c>
      <c r="K45" s="32">
        <f>K34*K36*K37*K38</f>
        <v>1.3663999999999998</v>
      </c>
      <c r="L45" s="32">
        <f>L34*L36*L37*L38</f>
        <v>1.3663999999999998</v>
      </c>
      <c r="M45" s="23" t="s">
        <v>930</v>
      </c>
      <c r="N45" s="23"/>
      <c r="O45" s="23"/>
      <c r="P45" s="23"/>
    </row>
    <row r="46" spans="9:16" x14ac:dyDescent="0.3">
      <c r="I46" t="s">
        <v>929</v>
      </c>
      <c r="J46" s="32"/>
      <c r="K46" s="171">
        <f>(K44/$J$44-K45/$J$45)*$J$40</f>
        <v>-48.61111111111105</v>
      </c>
      <c r="L46" s="171">
        <f>(L44/$J$44-L45/$J$45)*$J$40</f>
        <v>32.40740740740744</v>
      </c>
    </row>
    <row r="47" spans="9:16" x14ac:dyDescent="0.3">
      <c r="J47" s="32"/>
      <c r="K47" s="32"/>
      <c r="L47" s="32"/>
    </row>
    <row r="48" spans="9:16" x14ac:dyDescent="0.3">
      <c r="J48" s="32"/>
      <c r="K48" s="32"/>
      <c r="L48" s="32"/>
    </row>
    <row r="49" spans="9:12" x14ac:dyDescent="0.3">
      <c r="I49" s="18"/>
      <c r="J49" s="32"/>
      <c r="K49" s="32"/>
      <c r="L49" s="32"/>
    </row>
    <row r="50" spans="9:12" x14ac:dyDescent="0.3">
      <c r="I50" s="18" t="s">
        <v>928</v>
      </c>
      <c r="J50" s="160">
        <f>J41*J40</f>
        <v>12000000</v>
      </c>
      <c r="K50" s="170">
        <f>K41*K40</f>
        <v>4224000</v>
      </c>
      <c r="L50" s="170">
        <f>L41*L40</f>
        <v>7776000</v>
      </c>
    </row>
    <row r="51" spans="9:12" x14ac:dyDescent="0.3">
      <c r="I51" s="18" t="s">
        <v>461</v>
      </c>
      <c r="J51" s="160">
        <f>SUM(K51:L51)</f>
        <v>10200000</v>
      </c>
      <c r="K51" s="160">
        <f>E27</f>
        <v>3590400</v>
      </c>
      <c r="L51" s="160">
        <f>F27</f>
        <v>6609600</v>
      </c>
    </row>
    <row r="52" spans="9:12" x14ac:dyDescent="0.3">
      <c r="I52" s="18" t="s">
        <v>927</v>
      </c>
      <c r="J52" s="160">
        <f>J50-J51</f>
        <v>1800000</v>
      </c>
      <c r="K52" s="160">
        <f>K50-K51</f>
        <v>633600</v>
      </c>
      <c r="L52" s="160">
        <f>L50-L51</f>
        <v>1166400</v>
      </c>
    </row>
    <row r="53" spans="9:12" x14ac:dyDescent="0.3">
      <c r="I53" s="18" t="s">
        <v>926</v>
      </c>
      <c r="J53" s="170">
        <f>SUM(K53:L53)</f>
        <v>1.0477378964424133E-9</v>
      </c>
      <c r="K53" s="170">
        <f>K46*K41</f>
        <v>-466666.6666666661</v>
      </c>
      <c r="L53" s="170">
        <f>L46*L41</f>
        <v>466666.66666666715</v>
      </c>
    </row>
    <row r="54" spans="9:12" x14ac:dyDescent="0.3">
      <c r="I54" s="18" t="s">
        <v>925</v>
      </c>
      <c r="J54" s="160">
        <f>J52-J53</f>
        <v>1799999.9999999991</v>
      </c>
      <c r="K54" s="170">
        <f>SUM(K52:K53)</f>
        <v>166933.3333333339</v>
      </c>
      <c r="L54" s="170">
        <f>SUM(L52:L53)</f>
        <v>1633066.6666666672</v>
      </c>
    </row>
    <row r="55" spans="9:12" x14ac:dyDescent="0.3">
      <c r="I55" s="18" t="s">
        <v>924</v>
      </c>
      <c r="J55" s="169">
        <f>J54/J50</f>
        <v>0.14999999999999991</v>
      </c>
      <c r="K55" s="101">
        <f>K54/K50</f>
        <v>3.9520202020202157E-2</v>
      </c>
      <c r="L55" s="101">
        <f>L54/L50</f>
        <v>0.2100137174211249</v>
      </c>
    </row>
  </sheetData>
  <mergeCells count="3">
    <mergeCell ref="C10:F10"/>
    <mergeCell ref="C14:G14"/>
    <mergeCell ref="I14:M14"/>
  </mergeCells>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93D00-B4AB-473F-852B-C35D0C047BC0}">
  <sheetPr>
    <tabColor theme="5" tint="0.39997558519241921"/>
  </sheetPr>
  <dimension ref="A1:N20"/>
  <sheetViews>
    <sheetView workbookViewId="0">
      <selection activeCell="I49" sqref="I49"/>
    </sheetView>
  </sheetViews>
  <sheetFormatPr defaultRowHeight="14.4" x14ac:dyDescent="0.3"/>
  <cols>
    <col min="10" max="10" width="20.109375" customWidth="1"/>
    <col min="11" max="11" width="11.6640625" customWidth="1"/>
    <col min="12" max="12" width="14.33203125" customWidth="1"/>
  </cols>
  <sheetData>
    <row r="1" spans="1:14" ht="15" thickBot="1" x14ac:dyDescent="0.35">
      <c r="A1" t="s">
        <v>829</v>
      </c>
      <c r="G1" s="25" t="s">
        <v>40</v>
      </c>
      <c r="H1" s="24"/>
    </row>
    <row r="2" spans="1:14" x14ac:dyDescent="0.3">
      <c r="G2" s="23" t="s">
        <v>39</v>
      </c>
      <c r="H2" s="23"/>
    </row>
    <row r="3" spans="1:14" ht="15" thickBot="1" x14ac:dyDescent="0.35">
      <c r="G3" s="22" t="s">
        <v>38</v>
      </c>
      <c r="H3" s="22"/>
    </row>
    <row r="4" spans="1:14" ht="15.6" thickTop="1" thickBot="1" x14ac:dyDescent="0.35">
      <c r="G4" s="21" t="s">
        <v>37</v>
      </c>
      <c r="H4" s="21"/>
    </row>
    <row r="5" spans="1:14" ht="15" thickTop="1" x14ac:dyDescent="0.3">
      <c r="G5" s="20" t="s">
        <v>36</v>
      </c>
      <c r="H5" s="19"/>
    </row>
    <row r="9" spans="1:14" ht="15" thickBot="1" x14ac:dyDescent="0.35"/>
    <row r="10" spans="1:14" ht="15" thickBot="1" x14ac:dyDescent="0.35">
      <c r="C10" s="182" t="s">
        <v>16</v>
      </c>
      <c r="D10" s="183"/>
      <c r="E10" s="183"/>
      <c r="F10" s="184"/>
    </row>
    <row r="12" spans="1:14" x14ac:dyDescent="0.3">
      <c r="C12">
        <v>0.36520000000000002</v>
      </c>
      <c r="D12" t="s">
        <v>828</v>
      </c>
    </row>
    <row r="13" spans="1:14" s="6" customFormat="1" x14ac:dyDescent="0.3"/>
    <row r="14" spans="1:14" ht="15" thickBot="1" x14ac:dyDescent="0.35"/>
    <row r="15" spans="1:14" ht="15" thickBot="1" x14ac:dyDescent="0.35">
      <c r="C15" s="182" t="s">
        <v>10</v>
      </c>
      <c r="D15" s="183"/>
      <c r="E15" s="183"/>
      <c r="F15" s="183"/>
      <c r="G15" s="183"/>
      <c r="H15" s="184"/>
      <c r="J15" s="182" t="s">
        <v>9</v>
      </c>
      <c r="K15" s="183"/>
      <c r="L15" s="183"/>
      <c r="M15" s="183"/>
      <c r="N15" s="184"/>
    </row>
    <row r="18" spans="3:8" x14ac:dyDescent="0.3">
      <c r="C18" t="s">
        <v>827</v>
      </c>
      <c r="D18" t="s">
        <v>826</v>
      </c>
      <c r="E18" t="s">
        <v>825</v>
      </c>
      <c r="F18" t="s">
        <v>824</v>
      </c>
    </row>
    <row r="19" spans="3:8" x14ac:dyDescent="0.3">
      <c r="C19" s="18" t="s">
        <v>823</v>
      </c>
      <c r="D19">
        <v>0.8</v>
      </c>
      <c r="E19">
        <v>0.36</v>
      </c>
      <c r="F19">
        <v>0.4</v>
      </c>
      <c r="G19" s="30"/>
    </row>
    <row r="20" spans="3:8" x14ac:dyDescent="0.3">
      <c r="C20" s="18" t="s">
        <v>822</v>
      </c>
      <c r="D20">
        <v>0.2</v>
      </c>
      <c r="E20" t="s">
        <v>79</v>
      </c>
      <c r="F20">
        <v>0.36</v>
      </c>
      <c r="G20" s="30"/>
      <c r="H20" s="30"/>
    </row>
  </sheetData>
  <mergeCells count="3">
    <mergeCell ref="C10:F10"/>
    <mergeCell ref="C15:H15"/>
    <mergeCell ref="J15:N15"/>
  </mergeCells>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862F4-3DD1-4E3D-A5D4-CD6B3CC366B7}">
  <sheetPr>
    <tabColor theme="9" tint="0.59999389629810485"/>
  </sheetPr>
  <dimension ref="A1:Y49"/>
  <sheetViews>
    <sheetView workbookViewId="0">
      <selection activeCell="P48" sqref="P48"/>
    </sheetView>
  </sheetViews>
  <sheetFormatPr defaultRowHeight="14.4" x14ac:dyDescent="0.3"/>
  <cols>
    <col min="10" max="10" width="20.109375" customWidth="1"/>
    <col min="11" max="11" width="11.6640625" customWidth="1"/>
    <col min="12" max="12" width="14.33203125" customWidth="1"/>
  </cols>
  <sheetData>
    <row r="1" spans="1:14" ht="15" thickBot="1" x14ac:dyDescent="0.35">
      <c r="A1" t="s">
        <v>829</v>
      </c>
      <c r="G1" s="25" t="s">
        <v>40</v>
      </c>
      <c r="H1" s="24"/>
    </row>
    <row r="2" spans="1:14" x14ac:dyDescent="0.3">
      <c r="G2" s="23" t="s">
        <v>39</v>
      </c>
      <c r="H2" s="23"/>
    </row>
    <row r="3" spans="1:14" ht="15" thickBot="1" x14ac:dyDescent="0.35">
      <c r="G3" s="22" t="s">
        <v>38</v>
      </c>
      <c r="H3" s="22"/>
    </row>
    <row r="4" spans="1:14" ht="15.6" thickTop="1" thickBot="1" x14ac:dyDescent="0.35">
      <c r="G4" s="21" t="s">
        <v>37</v>
      </c>
      <c r="H4" s="21"/>
    </row>
    <row r="5" spans="1:14" ht="15" thickTop="1" x14ac:dyDescent="0.3">
      <c r="G5" s="20" t="s">
        <v>36</v>
      </c>
      <c r="H5" s="19"/>
    </row>
    <row r="9" spans="1:14" ht="15" thickBot="1" x14ac:dyDescent="0.35"/>
    <row r="10" spans="1:14" ht="15" thickBot="1" x14ac:dyDescent="0.35">
      <c r="C10" s="182" t="s">
        <v>16</v>
      </c>
      <c r="D10" s="183"/>
      <c r="E10" s="183"/>
      <c r="F10" s="184"/>
    </row>
    <row r="12" spans="1:14" x14ac:dyDescent="0.3">
      <c r="C12">
        <v>0.36520000000000002</v>
      </c>
      <c r="D12" t="s">
        <v>828</v>
      </c>
    </row>
    <row r="13" spans="1:14" s="6" customFormat="1" x14ac:dyDescent="0.3"/>
    <row r="14" spans="1:14" ht="15" thickBot="1" x14ac:dyDescent="0.35"/>
    <row r="15" spans="1:14" ht="15" thickBot="1" x14ac:dyDescent="0.35">
      <c r="C15" s="182" t="s">
        <v>10</v>
      </c>
      <c r="D15" s="183"/>
      <c r="E15" s="183"/>
      <c r="F15" s="183"/>
      <c r="G15" s="183"/>
      <c r="H15" s="184"/>
      <c r="J15" s="182" t="s">
        <v>9</v>
      </c>
      <c r="K15" s="183"/>
      <c r="L15" s="183"/>
      <c r="M15" s="183"/>
      <c r="N15" s="184"/>
    </row>
    <row r="17" spans="3:16" x14ac:dyDescent="0.3">
      <c r="J17" t="s">
        <v>827</v>
      </c>
      <c r="K17" t="s">
        <v>823</v>
      </c>
      <c r="L17" t="s">
        <v>822</v>
      </c>
    </row>
    <row r="18" spans="3:16" x14ac:dyDescent="0.3">
      <c r="C18" t="s">
        <v>827</v>
      </c>
      <c r="D18" t="s">
        <v>826</v>
      </c>
      <c r="E18" t="s">
        <v>825</v>
      </c>
      <c r="F18" t="s">
        <v>824</v>
      </c>
      <c r="J18" t="s">
        <v>826</v>
      </c>
      <c r="K18">
        <f>D19</f>
        <v>0.8</v>
      </c>
      <c r="L18">
        <f>D20</f>
        <v>0.2</v>
      </c>
    </row>
    <row r="19" spans="3:16" x14ac:dyDescent="0.3">
      <c r="C19" s="18" t="s">
        <v>823</v>
      </c>
      <c r="D19">
        <v>0.8</v>
      </c>
      <c r="E19">
        <v>0.36</v>
      </c>
      <c r="F19">
        <v>0.4</v>
      </c>
      <c r="G19" s="30"/>
      <c r="J19" t="s">
        <v>825</v>
      </c>
      <c r="K19">
        <f>E19</f>
        <v>0.36</v>
      </c>
      <c r="L19" s="18" t="s">
        <v>79</v>
      </c>
    </row>
    <row r="20" spans="3:16" x14ac:dyDescent="0.3">
      <c r="C20" s="18" t="s">
        <v>822</v>
      </c>
      <c r="D20">
        <v>0.2</v>
      </c>
      <c r="E20" t="s">
        <v>79</v>
      </c>
      <c r="F20">
        <v>0.36</v>
      </c>
      <c r="G20" s="30"/>
      <c r="H20" s="30"/>
      <c r="J20" t="s">
        <v>824</v>
      </c>
      <c r="K20">
        <f>F19</f>
        <v>0.4</v>
      </c>
      <c r="L20">
        <f>F20</f>
        <v>0.36</v>
      </c>
    </row>
    <row r="21" spans="3:16" x14ac:dyDescent="0.3">
      <c r="J21" t="s">
        <v>963</v>
      </c>
      <c r="L21">
        <v>0.5</v>
      </c>
      <c r="M21" s="23" t="s">
        <v>961</v>
      </c>
      <c r="N21" s="23"/>
      <c r="O21" s="23"/>
      <c r="P21" s="23"/>
    </row>
    <row r="22" spans="3:16" x14ac:dyDescent="0.3">
      <c r="J22" t="s">
        <v>962</v>
      </c>
      <c r="K22" s="18"/>
      <c r="L22">
        <v>0.5</v>
      </c>
      <c r="M22" s="23" t="s">
        <v>961</v>
      </c>
      <c r="N22" s="23"/>
      <c r="O22" s="23"/>
      <c r="P22" s="23"/>
    </row>
    <row r="26" spans="3:16" x14ac:dyDescent="0.3">
      <c r="J26" t="s">
        <v>960</v>
      </c>
    </row>
    <row r="27" spans="3:16" x14ac:dyDescent="0.3">
      <c r="J27" s="174">
        <f>K19/K20</f>
        <v>0.89999999999999991</v>
      </c>
      <c r="K27" t="s">
        <v>959</v>
      </c>
    </row>
    <row r="30" spans="3:16" x14ac:dyDescent="0.3">
      <c r="J30" t="s">
        <v>958</v>
      </c>
    </row>
    <row r="31" spans="3:16" x14ac:dyDescent="0.3">
      <c r="J31" s="174">
        <f>J27*L20</f>
        <v>0.32399999999999995</v>
      </c>
      <c r="K31" t="s">
        <v>957</v>
      </c>
    </row>
    <row r="34" spans="10:25" x14ac:dyDescent="0.3">
      <c r="J34" t="s">
        <v>956</v>
      </c>
    </row>
    <row r="35" spans="10:25" x14ac:dyDescent="0.3">
      <c r="J35" s="174">
        <f>L21*J31+L22*L20</f>
        <v>0.34199999999999997</v>
      </c>
      <c r="K35" s="173" t="s">
        <v>955</v>
      </c>
    </row>
    <row r="38" spans="10:25" x14ac:dyDescent="0.3">
      <c r="J38" t="s">
        <v>954</v>
      </c>
    </row>
    <row r="39" spans="10:25" x14ac:dyDescent="0.3">
      <c r="J39">
        <f>K18*K19</f>
        <v>0.28799999999999998</v>
      </c>
      <c r="K39" t="s">
        <v>953</v>
      </c>
    </row>
    <row r="40" spans="10:25" x14ac:dyDescent="0.3">
      <c r="J40" s="174">
        <f>L18*J35</f>
        <v>6.8400000000000002E-2</v>
      </c>
      <c r="K40" t="s">
        <v>952</v>
      </c>
    </row>
    <row r="41" spans="10:25" x14ac:dyDescent="0.3">
      <c r="J41" s="174">
        <f>SUM(J39:J40)</f>
        <v>0.35639999999999999</v>
      </c>
      <c r="K41" t="s">
        <v>951</v>
      </c>
    </row>
    <row r="43" spans="10:25" x14ac:dyDescent="0.3">
      <c r="J43" s="51" t="s">
        <v>950</v>
      </c>
    </row>
    <row r="45" spans="10:25" x14ac:dyDescent="0.3">
      <c r="J45" t="s">
        <v>949</v>
      </c>
    </row>
    <row r="46" spans="10:25" x14ac:dyDescent="0.3">
      <c r="J46" s="174">
        <f>C12</f>
        <v>0.36520000000000002</v>
      </c>
      <c r="K46" s="23" t="s">
        <v>948</v>
      </c>
      <c r="L46" s="23"/>
      <c r="M46" s="23"/>
      <c r="N46" s="23"/>
      <c r="O46" s="23"/>
      <c r="P46" s="23"/>
      <c r="Q46" s="23"/>
      <c r="R46" s="23"/>
      <c r="S46" s="23"/>
      <c r="T46" s="23"/>
      <c r="U46" s="23"/>
      <c r="V46" s="23"/>
      <c r="W46" s="23"/>
      <c r="X46" s="23"/>
      <c r="Y46" s="23"/>
    </row>
    <row r="47" spans="10:25" x14ac:dyDescent="0.3">
      <c r="K47" s="173" t="s">
        <v>947</v>
      </c>
    </row>
    <row r="48" spans="10:25" x14ac:dyDescent="0.3">
      <c r="J48" t="s">
        <v>946</v>
      </c>
    </row>
    <row r="49" spans="10:10" x14ac:dyDescent="0.3">
      <c r="J49" s="140">
        <f>J41/J46</f>
        <v>0.97590361445783125</v>
      </c>
    </row>
  </sheetData>
  <mergeCells count="3">
    <mergeCell ref="C10:F10"/>
    <mergeCell ref="C15:H15"/>
    <mergeCell ref="J15:N15"/>
  </mergeCells>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C1A39-A4B9-43BA-9B17-DC7E6FEB29E5}">
  <sheetPr>
    <tabColor theme="5" tint="0.39997558519241921"/>
  </sheetPr>
  <dimension ref="A1:M35"/>
  <sheetViews>
    <sheetView workbookViewId="0">
      <selection activeCell="I49" sqref="I49"/>
    </sheetView>
  </sheetViews>
  <sheetFormatPr defaultRowHeight="14.4" x14ac:dyDescent="0.3"/>
  <cols>
    <col min="3" max="3" width="22" customWidth="1"/>
    <col min="4" max="4" width="14.44140625" customWidth="1"/>
    <col min="5" max="5" width="21.109375" customWidth="1"/>
    <col min="6" max="7" width="17.109375" customWidth="1"/>
    <col min="10" max="10" width="14.44140625" customWidth="1"/>
    <col min="11" max="11" width="18.109375" customWidth="1"/>
    <col min="12" max="12" width="18.88671875" customWidth="1"/>
    <col min="13" max="13" width="14.44140625" customWidth="1"/>
  </cols>
  <sheetData>
    <row r="1" spans="1:8" ht="15" thickBot="1" x14ac:dyDescent="0.35">
      <c r="A1" t="s">
        <v>855</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D12" t="s">
        <v>854</v>
      </c>
    </row>
    <row r="13" spans="1:8" x14ac:dyDescent="0.3">
      <c r="D13" t="s">
        <v>853</v>
      </c>
    </row>
    <row r="14" spans="1:8" x14ac:dyDescent="0.3">
      <c r="C14" s="30">
        <v>0.5</v>
      </c>
      <c r="D14" t="s">
        <v>852</v>
      </c>
    </row>
    <row r="15" spans="1:8" x14ac:dyDescent="0.3">
      <c r="C15">
        <v>1</v>
      </c>
      <c r="D15" t="s">
        <v>851</v>
      </c>
    </row>
    <row r="16" spans="1:8" x14ac:dyDescent="0.3">
      <c r="C16" s="30">
        <v>0.8</v>
      </c>
      <c r="D16" t="s">
        <v>850</v>
      </c>
    </row>
    <row r="17" spans="3:13" x14ac:dyDescent="0.3">
      <c r="C17">
        <v>0.40279999999999999</v>
      </c>
      <c r="D17" t="s">
        <v>849</v>
      </c>
    </row>
    <row r="18" spans="3:13" x14ac:dyDescent="0.3">
      <c r="C18">
        <v>1</v>
      </c>
      <c r="D18" t="s">
        <v>848</v>
      </c>
    </row>
    <row r="21" spans="3:13" ht="15" thickBot="1" x14ac:dyDescent="0.35"/>
    <row r="22" spans="3:13" ht="15" thickBot="1" x14ac:dyDescent="0.35">
      <c r="C22" s="182" t="s">
        <v>10</v>
      </c>
      <c r="D22" s="183"/>
      <c r="E22" s="183"/>
      <c r="F22" s="183"/>
      <c r="G22" s="184"/>
      <c r="I22" s="182" t="s">
        <v>9</v>
      </c>
      <c r="J22" s="183"/>
      <c r="K22" s="183"/>
      <c r="L22" s="183"/>
      <c r="M22" s="184"/>
    </row>
    <row r="24" spans="3:13" x14ac:dyDescent="0.3">
      <c r="C24" t="s">
        <v>847</v>
      </c>
      <c r="D24" t="s">
        <v>826</v>
      </c>
      <c r="E24" t="s">
        <v>825</v>
      </c>
      <c r="F24" t="s">
        <v>846</v>
      </c>
      <c r="G24" t="s">
        <v>845</v>
      </c>
    </row>
    <row r="25" spans="3:13" x14ac:dyDescent="0.3">
      <c r="C25" s="18" t="s">
        <v>844</v>
      </c>
      <c r="D25">
        <v>0.82</v>
      </c>
      <c r="E25">
        <v>0.39100000000000001</v>
      </c>
      <c r="F25">
        <v>0.4</v>
      </c>
      <c r="G25" t="s">
        <v>840</v>
      </c>
    </row>
    <row r="26" spans="3:13" x14ac:dyDescent="0.3">
      <c r="C26" s="18" t="s">
        <v>843</v>
      </c>
      <c r="D26">
        <v>0.18</v>
      </c>
      <c r="E26" t="s">
        <v>840</v>
      </c>
      <c r="F26">
        <v>0.35</v>
      </c>
      <c r="G26" t="s">
        <v>214</v>
      </c>
    </row>
    <row r="27" spans="3:13" x14ac:dyDescent="0.3">
      <c r="C27" s="18" t="s">
        <v>842</v>
      </c>
      <c r="D27">
        <v>0.80689999999999995</v>
      </c>
      <c r="E27">
        <v>0.40289999999999998</v>
      </c>
      <c r="F27">
        <v>0.40289999999999998</v>
      </c>
      <c r="G27" t="s">
        <v>840</v>
      </c>
    </row>
    <row r="28" spans="3:13" x14ac:dyDescent="0.3">
      <c r="C28" s="18" t="s">
        <v>841</v>
      </c>
      <c r="D28">
        <v>0.19309999999999999</v>
      </c>
      <c r="E28" t="s">
        <v>840</v>
      </c>
      <c r="F28">
        <v>0.4022</v>
      </c>
      <c r="G28">
        <v>0.4022</v>
      </c>
    </row>
    <row r="29" spans="3:13" x14ac:dyDescent="0.3">
      <c r="C29" s="18"/>
    </row>
    <row r="30" spans="3:13" x14ac:dyDescent="0.3">
      <c r="C30" s="18" t="s">
        <v>839</v>
      </c>
      <c r="D30" t="s">
        <v>838</v>
      </c>
      <c r="E30" t="s">
        <v>837</v>
      </c>
      <c r="F30" t="s">
        <v>836</v>
      </c>
      <c r="G30" t="s">
        <v>835</v>
      </c>
    </row>
    <row r="31" spans="3:13" x14ac:dyDescent="0.3">
      <c r="C31" s="18" t="s">
        <v>834</v>
      </c>
      <c r="D31">
        <v>100</v>
      </c>
      <c r="E31">
        <v>150</v>
      </c>
      <c r="F31">
        <v>700</v>
      </c>
      <c r="G31">
        <v>150</v>
      </c>
    </row>
    <row r="32" spans="3:13" x14ac:dyDescent="0.3">
      <c r="C32" s="18" t="s">
        <v>833</v>
      </c>
      <c r="D32">
        <v>2</v>
      </c>
      <c r="E32">
        <v>3</v>
      </c>
      <c r="F32">
        <v>14</v>
      </c>
      <c r="G32">
        <v>10</v>
      </c>
    </row>
    <row r="33" spans="3:7" x14ac:dyDescent="0.3">
      <c r="C33" s="18" t="s">
        <v>832</v>
      </c>
      <c r="D33">
        <v>8</v>
      </c>
      <c r="E33">
        <v>12</v>
      </c>
      <c r="F33">
        <v>56</v>
      </c>
      <c r="G33">
        <v>40</v>
      </c>
    </row>
    <row r="34" spans="3:7" x14ac:dyDescent="0.3">
      <c r="C34" s="18" t="s">
        <v>831</v>
      </c>
      <c r="D34">
        <v>2</v>
      </c>
      <c r="E34">
        <v>3</v>
      </c>
      <c r="F34">
        <v>14</v>
      </c>
      <c r="G34">
        <v>10</v>
      </c>
    </row>
    <row r="35" spans="3:7" x14ac:dyDescent="0.3">
      <c r="C35" s="18" t="s">
        <v>830</v>
      </c>
      <c r="D35" t="s">
        <v>214</v>
      </c>
      <c r="E35">
        <v>1.0134000000000001</v>
      </c>
      <c r="F35">
        <v>1.0008999999999999</v>
      </c>
      <c r="G35">
        <v>0.99739999999999995</v>
      </c>
    </row>
  </sheetData>
  <mergeCells count="3">
    <mergeCell ref="C10:F10"/>
    <mergeCell ref="C22:G22"/>
    <mergeCell ref="I22:M22"/>
  </mergeCells>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4D8A1-EDDB-4898-8428-EA0DB423EF10}">
  <sheetPr>
    <tabColor theme="9" tint="0.59999389629810485"/>
  </sheetPr>
  <dimension ref="A1:AA65"/>
  <sheetViews>
    <sheetView workbookViewId="0">
      <selection activeCell="P48" sqref="P48"/>
    </sheetView>
  </sheetViews>
  <sheetFormatPr defaultRowHeight="14.4" x14ac:dyDescent="0.3"/>
  <cols>
    <col min="3" max="3" width="22" customWidth="1"/>
    <col min="4" max="4" width="14.44140625" customWidth="1"/>
    <col min="5" max="5" width="21.109375" customWidth="1"/>
    <col min="6" max="7" width="17.109375" customWidth="1"/>
    <col min="10" max="10" width="14.44140625" customWidth="1"/>
    <col min="11" max="11" width="18.109375" customWidth="1"/>
    <col min="12" max="12" width="18.88671875" customWidth="1"/>
    <col min="13" max="13" width="14.44140625" customWidth="1"/>
  </cols>
  <sheetData>
    <row r="1" spans="1:8" ht="15" thickBot="1" x14ac:dyDescent="0.35">
      <c r="A1" t="s">
        <v>855</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D12" t="s">
        <v>854</v>
      </c>
    </row>
    <row r="13" spans="1:8" x14ac:dyDescent="0.3">
      <c r="D13" t="s">
        <v>853</v>
      </c>
    </row>
    <row r="14" spans="1:8" x14ac:dyDescent="0.3">
      <c r="C14" s="30">
        <v>0.5</v>
      </c>
      <c r="D14" t="s">
        <v>852</v>
      </c>
    </row>
    <row r="15" spans="1:8" x14ac:dyDescent="0.3">
      <c r="C15">
        <v>1</v>
      </c>
      <c r="D15" t="s">
        <v>851</v>
      </c>
    </row>
    <row r="16" spans="1:8" x14ac:dyDescent="0.3">
      <c r="C16" s="30">
        <v>0.8</v>
      </c>
      <c r="D16" t="s">
        <v>850</v>
      </c>
    </row>
    <row r="17" spans="3:15" x14ac:dyDescent="0.3">
      <c r="C17">
        <v>0.40279999999999999</v>
      </c>
      <c r="D17" t="s">
        <v>849</v>
      </c>
    </row>
    <row r="18" spans="3:15" x14ac:dyDescent="0.3">
      <c r="C18">
        <v>1</v>
      </c>
      <c r="D18" t="s">
        <v>848</v>
      </c>
    </row>
    <row r="21" spans="3:15" ht="15" thickBot="1" x14ac:dyDescent="0.35"/>
    <row r="22" spans="3:15" ht="15" thickBot="1" x14ac:dyDescent="0.35">
      <c r="C22" s="182" t="s">
        <v>10</v>
      </c>
      <c r="D22" s="183"/>
      <c r="E22" s="183"/>
      <c r="F22" s="183"/>
      <c r="G22" s="184"/>
      <c r="I22" s="182" t="s">
        <v>9</v>
      </c>
      <c r="J22" s="183"/>
      <c r="K22" s="183"/>
      <c r="L22" s="183"/>
      <c r="M22" s="184"/>
    </row>
    <row r="24" spans="3:15" x14ac:dyDescent="0.3">
      <c r="C24" t="s">
        <v>847</v>
      </c>
      <c r="D24" t="s">
        <v>826</v>
      </c>
      <c r="E24" t="s">
        <v>825</v>
      </c>
      <c r="F24" t="s">
        <v>846</v>
      </c>
      <c r="G24" t="s">
        <v>845</v>
      </c>
      <c r="I24" s="35" t="s">
        <v>990</v>
      </c>
      <c r="J24" s="35" t="s">
        <v>909</v>
      </c>
      <c r="K24" s="6" t="s">
        <v>308</v>
      </c>
      <c r="L24" s="6"/>
      <c r="M24" s="6"/>
      <c r="N24" s="6"/>
      <c r="O24" s="6"/>
    </row>
    <row r="25" spans="3:15" x14ac:dyDescent="0.3">
      <c r="C25" s="18" t="s">
        <v>844</v>
      </c>
      <c r="D25">
        <v>0.82</v>
      </c>
      <c r="E25">
        <v>0.39100000000000001</v>
      </c>
      <c r="F25">
        <v>0.4</v>
      </c>
      <c r="G25" t="s">
        <v>840</v>
      </c>
      <c r="I25" s="18" t="s">
        <v>79</v>
      </c>
      <c r="J25" s="18" t="s">
        <v>79</v>
      </c>
      <c r="K25" s="176" t="s">
        <v>989</v>
      </c>
    </row>
    <row r="26" spans="3:15" x14ac:dyDescent="0.3">
      <c r="C26" s="18" t="s">
        <v>843</v>
      </c>
      <c r="D26">
        <v>0.18</v>
      </c>
      <c r="E26" t="s">
        <v>840</v>
      </c>
      <c r="F26">
        <v>0.35</v>
      </c>
      <c r="G26" t="s">
        <v>214</v>
      </c>
      <c r="I26" s="18" t="s">
        <v>79</v>
      </c>
      <c r="J26" s="18" t="s">
        <v>79</v>
      </c>
      <c r="K26" s="176" t="s">
        <v>988</v>
      </c>
    </row>
    <row r="27" spans="3:15" x14ac:dyDescent="0.3">
      <c r="C27" s="18" t="s">
        <v>842</v>
      </c>
      <c r="D27">
        <v>0.80689999999999995</v>
      </c>
      <c r="E27">
        <v>0.40289999999999998</v>
      </c>
      <c r="F27">
        <v>0.40289999999999998</v>
      </c>
      <c r="G27" t="s">
        <v>840</v>
      </c>
      <c r="I27">
        <f>E25</f>
        <v>0.39100000000000001</v>
      </c>
      <c r="J27">
        <f>J28</f>
        <v>0.40289999999999998</v>
      </c>
      <c r="K27" s="176" t="s">
        <v>987</v>
      </c>
    </row>
    <row r="28" spans="3:15" x14ac:dyDescent="0.3">
      <c r="C28" s="18" t="s">
        <v>841</v>
      </c>
      <c r="D28">
        <v>0.19309999999999999</v>
      </c>
      <c r="E28" t="s">
        <v>840</v>
      </c>
      <c r="F28">
        <v>0.4022</v>
      </c>
      <c r="G28">
        <v>0.4022</v>
      </c>
      <c r="I28">
        <f>F25</f>
        <v>0.4</v>
      </c>
      <c r="J28">
        <f>F27</f>
        <v>0.40289999999999998</v>
      </c>
      <c r="K28" s="176" t="s">
        <v>986</v>
      </c>
    </row>
    <row r="29" spans="3:15" x14ac:dyDescent="0.3">
      <c r="C29" s="18"/>
      <c r="I29">
        <f>F26</f>
        <v>0.35</v>
      </c>
      <c r="J29">
        <f>F28</f>
        <v>0.4022</v>
      </c>
      <c r="K29" s="176" t="s">
        <v>985</v>
      </c>
    </row>
    <row r="30" spans="3:15" x14ac:dyDescent="0.3">
      <c r="C30" s="18" t="s">
        <v>839</v>
      </c>
      <c r="D30" t="s">
        <v>838</v>
      </c>
      <c r="E30" t="s">
        <v>837</v>
      </c>
      <c r="F30" t="s">
        <v>836</v>
      </c>
      <c r="G30" t="s">
        <v>835</v>
      </c>
      <c r="I30" s="124">
        <f>(I27/I28)*I29</f>
        <v>0.34212500000000001</v>
      </c>
      <c r="J30" s="174">
        <f>(J27/J28)*J29</f>
        <v>0.4022</v>
      </c>
      <c r="K30" s="176" t="s">
        <v>984</v>
      </c>
    </row>
    <row r="31" spans="3:15" x14ac:dyDescent="0.3">
      <c r="C31" s="18" t="s">
        <v>834</v>
      </c>
      <c r="D31">
        <v>100</v>
      </c>
      <c r="E31">
        <v>150</v>
      </c>
      <c r="F31">
        <v>700</v>
      </c>
      <c r="G31">
        <v>150</v>
      </c>
      <c r="I31" s="124">
        <f>I29*0.5+I30*0.5</f>
        <v>0.3460625</v>
      </c>
      <c r="J31" s="124">
        <f>J29*0.5+J30*0.5</f>
        <v>0.4022</v>
      </c>
      <c r="K31" s="176" t="s">
        <v>983</v>
      </c>
    </row>
    <row r="32" spans="3:15" x14ac:dyDescent="0.3">
      <c r="C32" s="18" t="s">
        <v>833</v>
      </c>
      <c r="D32">
        <v>2</v>
      </c>
      <c r="E32">
        <v>3</v>
      </c>
      <c r="F32">
        <v>14</v>
      </c>
      <c r="G32">
        <v>10</v>
      </c>
      <c r="I32">
        <f>D25</f>
        <v>0.82</v>
      </c>
      <c r="J32">
        <f>D27</f>
        <v>0.80689999999999995</v>
      </c>
      <c r="K32" s="176" t="s">
        <v>982</v>
      </c>
    </row>
    <row r="33" spans="3:13" x14ac:dyDescent="0.3">
      <c r="C33" s="18" t="s">
        <v>832</v>
      </c>
      <c r="D33">
        <v>8</v>
      </c>
      <c r="E33">
        <v>12</v>
      </c>
      <c r="F33">
        <v>56</v>
      </c>
      <c r="G33">
        <v>40</v>
      </c>
      <c r="I33">
        <f>D26</f>
        <v>0.18</v>
      </c>
      <c r="J33">
        <f>D28</f>
        <v>0.19309999999999999</v>
      </c>
      <c r="K33" s="176" t="s">
        <v>981</v>
      </c>
    </row>
    <row r="34" spans="3:13" x14ac:dyDescent="0.3">
      <c r="C34" s="18" t="s">
        <v>831</v>
      </c>
      <c r="D34">
        <v>2</v>
      </c>
      <c r="E34">
        <v>3</v>
      </c>
      <c r="F34">
        <v>14</v>
      </c>
      <c r="G34">
        <v>10</v>
      </c>
      <c r="I34" s="124">
        <f>I32*I27+I33*I31</f>
        <v>0.38291125000000004</v>
      </c>
      <c r="J34" s="174">
        <f>J32*J27+J33*J31</f>
        <v>0.40276482999999996</v>
      </c>
      <c r="K34" s="176" t="s">
        <v>980</v>
      </c>
    </row>
    <row r="35" spans="3:13" x14ac:dyDescent="0.3">
      <c r="C35" s="18" t="s">
        <v>830</v>
      </c>
      <c r="D35" t="s">
        <v>214</v>
      </c>
      <c r="E35">
        <v>1.0134000000000001</v>
      </c>
      <c r="F35">
        <v>1.0008999999999999</v>
      </c>
      <c r="G35">
        <v>0.99739999999999995</v>
      </c>
      <c r="I35" s="124">
        <f>I34/J34</f>
        <v>0.95070676851303049</v>
      </c>
      <c r="J35" s="124"/>
      <c r="K35" s="176" t="s">
        <v>979</v>
      </c>
    </row>
    <row r="36" spans="3:13" x14ac:dyDescent="0.3">
      <c r="I36">
        <f>C16*I35+(1-C16)*1</f>
        <v>0.96056541481042435</v>
      </c>
      <c r="K36" s="176" t="s">
        <v>978</v>
      </c>
    </row>
    <row r="37" spans="3:13" x14ac:dyDescent="0.3">
      <c r="I37">
        <f>C18</f>
        <v>1</v>
      </c>
      <c r="K37" s="176" t="s">
        <v>977</v>
      </c>
    </row>
    <row r="38" spans="3:13" x14ac:dyDescent="0.3">
      <c r="I38">
        <f>I36/I37</f>
        <v>0.96056541481042435</v>
      </c>
      <c r="K38" s="176" t="s">
        <v>976</v>
      </c>
    </row>
    <row r="43" spans="3:13" x14ac:dyDescent="0.3">
      <c r="I43" s="18" t="s">
        <v>839</v>
      </c>
      <c r="J43" t="s">
        <v>838</v>
      </c>
      <c r="K43" t="s">
        <v>837</v>
      </c>
      <c r="L43" t="s">
        <v>836</v>
      </c>
      <c r="M43" t="s">
        <v>835</v>
      </c>
    </row>
    <row r="44" spans="3:13" x14ac:dyDescent="0.3">
      <c r="I44" s="18" t="s">
        <v>834</v>
      </c>
      <c r="J44">
        <f t="shared" ref="J44:M47" si="0">D31</f>
        <v>100</v>
      </c>
      <c r="K44">
        <f t="shared" si="0"/>
        <v>150</v>
      </c>
      <c r="L44">
        <f t="shared" si="0"/>
        <v>700</v>
      </c>
      <c r="M44">
        <f t="shared" si="0"/>
        <v>150</v>
      </c>
    </row>
    <row r="45" spans="3:13" x14ac:dyDescent="0.3">
      <c r="I45" s="18" t="s">
        <v>833</v>
      </c>
      <c r="J45">
        <f t="shared" si="0"/>
        <v>2</v>
      </c>
      <c r="K45">
        <f t="shared" si="0"/>
        <v>3</v>
      </c>
      <c r="L45">
        <f t="shared" si="0"/>
        <v>14</v>
      </c>
      <c r="M45">
        <f t="shared" si="0"/>
        <v>10</v>
      </c>
    </row>
    <row r="46" spans="3:13" x14ac:dyDescent="0.3">
      <c r="I46" s="18" t="s">
        <v>832</v>
      </c>
      <c r="J46">
        <f t="shared" si="0"/>
        <v>8</v>
      </c>
      <c r="K46">
        <f t="shared" si="0"/>
        <v>12</v>
      </c>
      <c r="L46">
        <f t="shared" si="0"/>
        <v>56</v>
      </c>
      <c r="M46">
        <f t="shared" si="0"/>
        <v>40</v>
      </c>
    </row>
    <row r="47" spans="3:13" x14ac:dyDescent="0.3">
      <c r="I47" s="18" t="s">
        <v>831</v>
      </c>
      <c r="J47">
        <f t="shared" si="0"/>
        <v>2</v>
      </c>
      <c r="K47">
        <f t="shared" si="0"/>
        <v>3</v>
      </c>
      <c r="L47">
        <f t="shared" si="0"/>
        <v>14</v>
      </c>
      <c r="M47">
        <f t="shared" si="0"/>
        <v>10</v>
      </c>
    </row>
    <row r="48" spans="3:13" x14ac:dyDescent="0.3">
      <c r="I48" s="18" t="s">
        <v>830</v>
      </c>
      <c r="J48">
        <f>I38</f>
        <v>0.96056541481042435</v>
      </c>
      <c r="K48">
        <f>E35</f>
        <v>1.0134000000000001</v>
      </c>
      <c r="L48">
        <f>F35</f>
        <v>1.0008999999999999</v>
      </c>
      <c r="M48">
        <f>G35</f>
        <v>0.99739999999999995</v>
      </c>
    </row>
    <row r="50" spans="10:27" x14ac:dyDescent="0.3">
      <c r="J50" t="s">
        <v>975</v>
      </c>
    </row>
    <row r="51" spans="10:27" x14ac:dyDescent="0.3">
      <c r="J51" s="7">
        <f t="shared" ref="J51:M53" si="1">J44</f>
        <v>100</v>
      </c>
      <c r="K51" s="7">
        <f t="shared" si="1"/>
        <v>150</v>
      </c>
      <c r="L51" s="7">
        <f t="shared" si="1"/>
        <v>700</v>
      </c>
      <c r="M51" s="7">
        <f t="shared" si="1"/>
        <v>150</v>
      </c>
      <c r="N51" t="s">
        <v>974</v>
      </c>
    </row>
    <row r="52" spans="10:27" x14ac:dyDescent="0.3">
      <c r="J52" s="28">
        <f t="shared" si="1"/>
        <v>2</v>
      </c>
      <c r="K52" s="28">
        <f t="shared" si="1"/>
        <v>3</v>
      </c>
      <c r="L52" s="28">
        <f t="shared" si="1"/>
        <v>14</v>
      </c>
      <c r="M52" s="28">
        <f t="shared" si="1"/>
        <v>10</v>
      </c>
      <c r="N52" t="s">
        <v>973</v>
      </c>
    </row>
    <row r="53" spans="10:27" x14ac:dyDescent="0.3">
      <c r="J53" s="28">
        <f t="shared" si="1"/>
        <v>8</v>
      </c>
      <c r="K53" s="28">
        <f t="shared" si="1"/>
        <v>12</v>
      </c>
      <c r="L53" s="28">
        <f t="shared" si="1"/>
        <v>56</v>
      </c>
      <c r="M53" s="28">
        <f t="shared" si="1"/>
        <v>40</v>
      </c>
      <c r="N53" t="s">
        <v>972</v>
      </c>
    </row>
    <row r="54" spans="10:27" x14ac:dyDescent="0.3">
      <c r="J54" s="7">
        <f>(J47/J44)*J44</f>
        <v>2</v>
      </c>
      <c r="K54" s="7">
        <f>(K47/K44)*K44</f>
        <v>3</v>
      </c>
      <c r="L54" s="7">
        <f>(L47/L44)*L44</f>
        <v>14</v>
      </c>
      <c r="M54" s="7">
        <f>(M47/M44)*M44</f>
        <v>10</v>
      </c>
      <c r="N54" t="s">
        <v>971</v>
      </c>
    </row>
    <row r="55" spans="10:27" x14ac:dyDescent="0.3">
      <c r="J55" s="28">
        <f>J51-J52-J53-J54</f>
        <v>88</v>
      </c>
      <c r="K55" s="28">
        <f>K51-K52-K53-K54</f>
        <v>132</v>
      </c>
      <c r="L55" s="28">
        <f>L51-L52-L53-L54</f>
        <v>616</v>
      </c>
      <c r="M55" s="28">
        <f>M51-M52-M53-M54</f>
        <v>90</v>
      </c>
      <c r="N55" t="s">
        <v>970</v>
      </c>
    </row>
    <row r="56" spans="10:27" x14ac:dyDescent="0.3">
      <c r="J56" s="28">
        <f>J55*J48</f>
        <v>84.529756503317344</v>
      </c>
      <c r="K56" s="28">
        <f>K55*K48</f>
        <v>133.7688</v>
      </c>
      <c r="L56" s="28">
        <f>L55*L48</f>
        <v>616.55439999999999</v>
      </c>
      <c r="M56" s="28">
        <f>M55*M48</f>
        <v>89.765999999999991</v>
      </c>
      <c r="N56" t="s">
        <v>969</v>
      </c>
    </row>
    <row r="58" spans="10:27" x14ac:dyDescent="0.3">
      <c r="J58" s="175">
        <f>(J56+J52+J53)/(1-(J47/J44))</f>
        <v>96.458935207466681</v>
      </c>
      <c r="K58" s="175">
        <f>(K56+K52+K53)/(1-(K47/K44))</f>
        <v>151.80489795918368</v>
      </c>
      <c r="L58" s="175">
        <f>(L56+L52+L53)/(1-(L47/L44))</f>
        <v>700.56571428571431</v>
      </c>
      <c r="M58" s="175">
        <f>(M56+M52+M53)/(1-(M47/M44))</f>
        <v>149.74928571428569</v>
      </c>
      <c r="N58" s="23" t="s">
        <v>968</v>
      </c>
      <c r="O58" s="23"/>
      <c r="P58" s="23"/>
      <c r="Q58" s="23"/>
      <c r="R58" s="23"/>
      <c r="S58" s="23"/>
      <c r="T58" s="23"/>
      <c r="U58" s="23"/>
      <c r="V58" s="23"/>
      <c r="W58" s="23"/>
      <c r="X58" s="23"/>
      <c r="Y58" s="23"/>
      <c r="Z58" s="23"/>
      <c r="AA58" s="23"/>
    </row>
    <row r="61" spans="10:27" x14ac:dyDescent="0.3">
      <c r="J61" t="s">
        <v>967</v>
      </c>
    </row>
    <row r="62" spans="10:27" x14ac:dyDescent="0.3">
      <c r="J62" s="28">
        <f>J56</f>
        <v>84.529756503317344</v>
      </c>
      <c r="K62" s="28">
        <f>K56</f>
        <v>133.7688</v>
      </c>
      <c r="L62" s="28">
        <f>L56</f>
        <v>616.55439999999999</v>
      </c>
      <c r="M62" s="28">
        <f>M56</f>
        <v>89.765999999999991</v>
      </c>
      <c r="N62" t="s">
        <v>966</v>
      </c>
    </row>
    <row r="63" spans="10:27" x14ac:dyDescent="0.3">
      <c r="J63" s="28">
        <f t="shared" ref="J63:M64" si="2">J52</f>
        <v>2</v>
      </c>
      <c r="K63" s="28">
        <f t="shared" si="2"/>
        <v>3</v>
      </c>
      <c r="L63" s="28">
        <f t="shared" si="2"/>
        <v>14</v>
      </c>
      <c r="M63" s="28">
        <f t="shared" si="2"/>
        <v>10</v>
      </c>
      <c r="N63" t="s">
        <v>965</v>
      </c>
    </row>
    <row r="64" spans="10:27" x14ac:dyDescent="0.3">
      <c r="J64" s="28">
        <f t="shared" si="2"/>
        <v>8</v>
      </c>
      <c r="K64" s="28">
        <f t="shared" si="2"/>
        <v>12</v>
      </c>
      <c r="L64" s="28">
        <f t="shared" si="2"/>
        <v>56</v>
      </c>
      <c r="M64" s="28">
        <f t="shared" si="2"/>
        <v>40</v>
      </c>
      <c r="N64" t="s">
        <v>460</v>
      </c>
    </row>
    <row r="65" spans="10:14" x14ac:dyDescent="0.3">
      <c r="J65" s="28">
        <f>J58-SUM(J62:J64)</f>
        <v>1.9291787041493365</v>
      </c>
      <c r="K65" s="28">
        <f>K58-SUM(K62:K64)</f>
        <v>3.0360979591836781</v>
      </c>
      <c r="L65" s="28">
        <f>L58-SUM(L62:L64)</f>
        <v>14.01131428571432</v>
      </c>
      <c r="M65" s="28">
        <f>M58-SUM(M62:M64)</f>
        <v>9.9832857142856994</v>
      </c>
      <c r="N65" t="s">
        <v>964</v>
      </c>
    </row>
  </sheetData>
  <mergeCells count="3">
    <mergeCell ref="C10:F10"/>
    <mergeCell ref="C22:G22"/>
    <mergeCell ref="I22:M22"/>
  </mergeCells>
  <pageMargins left="0.7" right="0.7" top="0.75" bottom="0.75" header="0.3" footer="0.3"/>
  <pageSetup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DE3E1-945F-4AFD-9DF7-7C81A2FA9E69}">
  <sheetPr>
    <tabColor theme="5" tint="0.39997558519241921"/>
  </sheetPr>
  <dimension ref="A1:M37"/>
  <sheetViews>
    <sheetView workbookViewId="0">
      <selection activeCell="I49" sqref="I49"/>
    </sheetView>
  </sheetViews>
  <sheetFormatPr defaultRowHeight="14.4" x14ac:dyDescent="0.3"/>
  <cols>
    <col min="2" max="2" width="2.88671875" customWidth="1"/>
    <col min="3" max="3" width="16.6640625" customWidth="1"/>
    <col min="4" max="4" width="14.6640625" customWidth="1"/>
    <col min="13" max="13" width="10.21875" customWidth="1"/>
  </cols>
  <sheetData>
    <row r="1" spans="1:8" ht="15" thickBot="1" x14ac:dyDescent="0.35">
      <c r="A1" t="s">
        <v>887</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C12" t="s">
        <v>619</v>
      </c>
      <c r="D12" t="s">
        <v>886</v>
      </c>
      <c r="E12" t="s">
        <v>885</v>
      </c>
      <c r="F12" t="s">
        <v>884</v>
      </c>
      <c r="G12" t="s">
        <v>883</v>
      </c>
    </row>
    <row r="13" spans="1:8" x14ac:dyDescent="0.3">
      <c r="C13" t="s">
        <v>70</v>
      </c>
      <c r="D13" t="s">
        <v>882</v>
      </c>
      <c r="E13" t="s">
        <v>879</v>
      </c>
      <c r="F13">
        <v>12</v>
      </c>
      <c r="G13" t="s">
        <v>881</v>
      </c>
    </row>
    <row r="14" spans="1:8" x14ac:dyDescent="0.3">
      <c r="C14" t="s">
        <v>69</v>
      </c>
      <c r="D14" t="s">
        <v>880</v>
      </c>
      <c r="E14" t="s">
        <v>879</v>
      </c>
      <c r="F14">
        <v>12</v>
      </c>
      <c r="G14" t="s">
        <v>878</v>
      </c>
    </row>
    <row r="15" spans="1:8" x14ac:dyDescent="0.3">
      <c r="C15" t="s">
        <v>68</v>
      </c>
      <c r="D15" t="s">
        <v>877</v>
      </c>
      <c r="E15" t="s">
        <v>876</v>
      </c>
      <c r="F15">
        <v>6</v>
      </c>
      <c r="G15" t="s">
        <v>875</v>
      </c>
    </row>
    <row r="17" spans="3:13" x14ac:dyDescent="0.3">
      <c r="C17">
        <v>1.0999999999999999E-2</v>
      </c>
      <c r="D17" t="s">
        <v>874</v>
      </c>
    </row>
    <row r="18" spans="3:13" x14ac:dyDescent="0.3">
      <c r="C18">
        <v>5.0000000000000001E-3</v>
      </c>
      <c r="D18" t="s">
        <v>873</v>
      </c>
    </row>
    <row r="19" spans="3:13" x14ac:dyDescent="0.3">
      <c r="C19">
        <f>1/1.03</f>
        <v>0.970873786407767</v>
      </c>
      <c r="D19" t="s">
        <v>872</v>
      </c>
    </row>
    <row r="20" spans="3:13" x14ac:dyDescent="0.3">
      <c r="C20">
        <v>0.98</v>
      </c>
      <c r="D20" t="s">
        <v>871</v>
      </c>
    </row>
    <row r="22" spans="3:13" x14ac:dyDescent="0.3">
      <c r="C22">
        <v>1.1000000000000001</v>
      </c>
      <c r="D22" t="s">
        <v>870</v>
      </c>
    </row>
    <row r="23" spans="3:13" ht="15" thickBot="1" x14ac:dyDescent="0.35"/>
    <row r="24" spans="3:13" ht="15" thickBot="1" x14ac:dyDescent="0.35">
      <c r="C24" s="182" t="s">
        <v>10</v>
      </c>
      <c r="D24" s="183"/>
      <c r="E24" s="183"/>
      <c r="F24" s="183"/>
      <c r="G24" s="184"/>
      <c r="I24" s="182" t="s">
        <v>9</v>
      </c>
      <c r="J24" s="183"/>
      <c r="K24" s="183"/>
      <c r="L24" s="183"/>
      <c r="M24" s="184"/>
    </row>
    <row r="26" spans="3:13" x14ac:dyDescent="0.3">
      <c r="C26" t="s">
        <v>869</v>
      </c>
    </row>
    <row r="27" spans="3:13" x14ac:dyDescent="0.3">
      <c r="C27" t="s">
        <v>617</v>
      </c>
      <c r="D27" t="s">
        <v>868</v>
      </c>
      <c r="E27" t="s">
        <v>867</v>
      </c>
      <c r="F27" t="s">
        <v>866</v>
      </c>
    </row>
    <row r="28" spans="3:13" x14ac:dyDescent="0.3">
      <c r="C28" t="s">
        <v>865</v>
      </c>
      <c r="D28" t="s">
        <v>864</v>
      </c>
      <c r="E28">
        <v>0.6</v>
      </c>
      <c r="F28">
        <v>0.4</v>
      </c>
    </row>
    <row r="29" spans="3:13" x14ac:dyDescent="0.3">
      <c r="C29" t="s">
        <v>865</v>
      </c>
      <c r="D29" t="s">
        <v>862</v>
      </c>
      <c r="E29">
        <v>0.7</v>
      </c>
      <c r="F29">
        <v>0.5</v>
      </c>
    </row>
    <row r="30" spans="3:13" x14ac:dyDescent="0.3">
      <c r="C30" t="s">
        <v>863</v>
      </c>
      <c r="D30" t="s">
        <v>864</v>
      </c>
      <c r="E30">
        <v>0.7</v>
      </c>
      <c r="F30">
        <v>0.6</v>
      </c>
    </row>
    <row r="31" spans="3:13" x14ac:dyDescent="0.3">
      <c r="C31" t="s">
        <v>863</v>
      </c>
      <c r="D31" t="s">
        <v>862</v>
      </c>
      <c r="E31">
        <v>0.8</v>
      </c>
      <c r="F31">
        <v>0.7</v>
      </c>
    </row>
    <row r="33" spans="3:4" x14ac:dyDescent="0.3">
      <c r="C33" t="s">
        <v>861</v>
      </c>
    </row>
    <row r="34" spans="3:4" x14ac:dyDescent="0.3">
      <c r="C34" t="s">
        <v>860</v>
      </c>
      <c r="D34" t="s">
        <v>859</v>
      </c>
    </row>
    <row r="35" spans="3:4" x14ac:dyDescent="0.3">
      <c r="C35" s="18" t="s">
        <v>858</v>
      </c>
      <c r="D35">
        <v>0.1</v>
      </c>
    </row>
    <row r="36" spans="3:4" x14ac:dyDescent="0.3">
      <c r="C36" s="18" t="s">
        <v>857</v>
      </c>
      <c r="D36">
        <v>0.4</v>
      </c>
    </row>
    <row r="37" spans="3:4" x14ac:dyDescent="0.3">
      <c r="C37" s="18" t="s">
        <v>856</v>
      </c>
      <c r="D37">
        <v>0.7</v>
      </c>
    </row>
  </sheetData>
  <mergeCells count="3">
    <mergeCell ref="C10:F10"/>
    <mergeCell ref="C24:G24"/>
    <mergeCell ref="I24:M24"/>
  </mergeCells>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50C7B-46E2-48DE-95BD-053C3647BE62}">
  <sheetPr>
    <tabColor theme="9" tint="0.59999389629810485"/>
  </sheetPr>
  <dimension ref="A1:Y45"/>
  <sheetViews>
    <sheetView workbookViewId="0">
      <selection activeCell="P48" sqref="P48"/>
    </sheetView>
  </sheetViews>
  <sheetFormatPr defaultRowHeight="14.4" x14ac:dyDescent="0.3"/>
  <cols>
    <col min="2" max="2" width="2.88671875" customWidth="1"/>
    <col min="3" max="3" width="16.6640625" customWidth="1"/>
    <col min="4" max="4" width="14.6640625" customWidth="1"/>
    <col min="13" max="13" width="10.21875" customWidth="1"/>
  </cols>
  <sheetData>
    <row r="1" spans="1:8" ht="15" thickBot="1" x14ac:dyDescent="0.35">
      <c r="A1" t="s">
        <v>887</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C12" t="s">
        <v>619</v>
      </c>
      <c r="D12" t="s">
        <v>886</v>
      </c>
      <c r="E12" t="s">
        <v>885</v>
      </c>
      <c r="F12" t="s">
        <v>884</v>
      </c>
      <c r="G12" t="s">
        <v>883</v>
      </c>
    </row>
    <row r="13" spans="1:8" x14ac:dyDescent="0.3">
      <c r="C13" t="s">
        <v>70</v>
      </c>
      <c r="D13" t="s">
        <v>882</v>
      </c>
      <c r="E13" t="s">
        <v>879</v>
      </c>
      <c r="F13">
        <v>12</v>
      </c>
      <c r="G13" t="s">
        <v>881</v>
      </c>
    </row>
    <row r="14" spans="1:8" x14ac:dyDescent="0.3">
      <c r="C14" t="s">
        <v>69</v>
      </c>
      <c r="D14" t="s">
        <v>880</v>
      </c>
      <c r="E14" t="s">
        <v>879</v>
      </c>
      <c r="F14">
        <v>12</v>
      </c>
      <c r="G14" t="s">
        <v>878</v>
      </c>
    </row>
    <row r="15" spans="1:8" x14ac:dyDescent="0.3">
      <c r="C15" t="s">
        <v>68</v>
      </c>
      <c r="D15" t="s">
        <v>877</v>
      </c>
      <c r="E15" t="s">
        <v>876</v>
      </c>
      <c r="F15">
        <v>6</v>
      </c>
      <c r="G15" t="s">
        <v>875</v>
      </c>
    </row>
    <row r="17" spans="3:25" x14ac:dyDescent="0.3">
      <c r="C17">
        <v>1.0999999999999999E-2</v>
      </c>
      <c r="D17" t="s">
        <v>874</v>
      </c>
    </row>
    <row r="18" spans="3:25" x14ac:dyDescent="0.3">
      <c r="C18">
        <v>5.0000000000000001E-3</v>
      </c>
      <c r="D18" t="s">
        <v>873</v>
      </c>
    </row>
    <row r="19" spans="3:25" x14ac:dyDescent="0.3">
      <c r="C19">
        <f>1/1.03</f>
        <v>0.970873786407767</v>
      </c>
      <c r="D19" t="s">
        <v>872</v>
      </c>
    </row>
    <row r="20" spans="3:25" x14ac:dyDescent="0.3">
      <c r="C20">
        <v>0.98</v>
      </c>
      <c r="D20" t="s">
        <v>871</v>
      </c>
    </row>
    <row r="22" spans="3:25" x14ac:dyDescent="0.3">
      <c r="C22">
        <v>1.1000000000000001</v>
      </c>
      <c r="D22" t="s">
        <v>870</v>
      </c>
    </row>
    <row r="23" spans="3:25" ht="15" thickBot="1" x14ac:dyDescent="0.35"/>
    <row r="24" spans="3:25" ht="15" thickBot="1" x14ac:dyDescent="0.35">
      <c r="C24" s="182" t="s">
        <v>10</v>
      </c>
      <c r="D24" s="183"/>
      <c r="E24" s="183"/>
      <c r="F24" s="183"/>
      <c r="G24" s="184"/>
      <c r="I24" s="182" t="s">
        <v>9</v>
      </c>
      <c r="J24" s="183"/>
      <c r="K24" s="183"/>
      <c r="L24" s="183"/>
      <c r="M24" s="184"/>
    </row>
    <row r="26" spans="3:25" x14ac:dyDescent="0.3">
      <c r="C26" t="s">
        <v>869</v>
      </c>
    </row>
    <row r="27" spans="3:25" x14ac:dyDescent="0.3">
      <c r="C27" t="s">
        <v>617</v>
      </c>
      <c r="D27" t="s">
        <v>868</v>
      </c>
      <c r="E27" t="s">
        <v>867</v>
      </c>
      <c r="F27" t="s">
        <v>866</v>
      </c>
      <c r="I27" s="1" t="s">
        <v>619</v>
      </c>
      <c r="J27" s="1" t="s">
        <v>374</v>
      </c>
      <c r="K27" s="1" t="s">
        <v>742</v>
      </c>
    </row>
    <row r="28" spans="3:25" x14ac:dyDescent="0.3">
      <c r="C28" t="s">
        <v>865</v>
      </c>
      <c r="D28" t="s">
        <v>864</v>
      </c>
      <c r="E28">
        <v>0.6</v>
      </c>
      <c r="F28">
        <v>0.4</v>
      </c>
      <c r="I28" s="32" t="s">
        <v>70</v>
      </c>
      <c r="J28" s="32">
        <f>F29+D35+D37</f>
        <v>1.2999999999999998</v>
      </c>
      <c r="K28" s="32">
        <f>F13</f>
        <v>12</v>
      </c>
    </row>
    <row r="29" spans="3:25" x14ac:dyDescent="0.3">
      <c r="C29" t="s">
        <v>865</v>
      </c>
      <c r="D29" t="s">
        <v>862</v>
      </c>
      <c r="E29">
        <v>0.7</v>
      </c>
      <c r="F29">
        <v>0.5</v>
      </c>
      <c r="I29" s="32" t="s">
        <v>69</v>
      </c>
      <c r="J29" s="32">
        <f>F29+D36+D37</f>
        <v>1.6</v>
      </c>
      <c r="K29" s="32">
        <f>F14</f>
        <v>12</v>
      </c>
      <c r="L29" s="23" t="s">
        <v>1002</v>
      </c>
      <c r="M29" s="23"/>
      <c r="N29" s="23"/>
      <c r="O29" s="23"/>
      <c r="P29" s="23"/>
      <c r="Q29" s="23"/>
      <c r="R29" s="23"/>
      <c r="S29" s="23"/>
      <c r="T29" s="23"/>
      <c r="U29" s="23"/>
      <c r="V29" s="23"/>
      <c r="W29" s="23"/>
      <c r="X29" s="23"/>
      <c r="Y29" s="23"/>
    </row>
    <row r="30" spans="3:25" x14ac:dyDescent="0.3">
      <c r="C30" t="s">
        <v>863</v>
      </c>
      <c r="D30" t="s">
        <v>864</v>
      </c>
      <c r="E30">
        <v>0.7</v>
      </c>
      <c r="F30">
        <v>0.6</v>
      </c>
      <c r="I30" s="35" t="s">
        <v>68</v>
      </c>
      <c r="J30" s="35">
        <f>E30</f>
        <v>0.7</v>
      </c>
      <c r="K30" s="35">
        <f>F15</f>
        <v>6</v>
      </c>
    </row>
    <row r="31" spans="3:25" x14ac:dyDescent="0.3">
      <c r="C31" t="s">
        <v>863</v>
      </c>
      <c r="D31" t="s">
        <v>862</v>
      </c>
      <c r="E31">
        <v>0.8</v>
      </c>
      <c r="F31">
        <v>0.7</v>
      </c>
    </row>
    <row r="32" spans="3:25" x14ac:dyDescent="0.3">
      <c r="J32" s="18" t="s">
        <v>1001</v>
      </c>
      <c r="K32">
        <f>SUMPRODUCT(J28:J30,K28:K30)/SUM(K28:K30)</f>
        <v>1.3</v>
      </c>
    </row>
    <row r="33" spans="3:15" x14ac:dyDescent="0.3">
      <c r="C33" t="s">
        <v>861</v>
      </c>
    </row>
    <row r="34" spans="3:15" x14ac:dyDescent="0.3">
      <c r="C34" t="s">
        <v>860</v>
      </c>
      <c r="D34" t="s">
        <v>859</v>
      </c>
      <c r="I34" t="s">
        <v>1000</v>
      </c>
    </row>
    <row r="35" spans="3:15" x14ac:dyDescent="0.3">
      <c r="C35" s="18" t="s">
        <v>858</v>
      </c>
      <c r="D35">
        <v>0.1</v>
      </c>
      <c r="I35" s="6" t="s">
        <v>905</v>
      </c>
      <c r="J35" s="6" t="s">
        <v>999</v>
      </c>
      <c r="K35" s="6"/>
    </row>
    <row r="36" spans="3:15" x14ac:dyDescent="0.3">
      <c r="C36" s="18" t="s">
        <v>857</v>
      </c>
      <c r="D36">
        <v>0.4</v>
      </c>
      <c r="I36" s="174">
        <f>(1+C17)^2</f>
        <v>1.0221209999999998</v>
      </c>
      <c r="J36" t="s">
        <v>374</v>
      </c>
      <c r="K36" s="23" t="s">
        <v>998</v>
      </c>
      <c r="L36" s="23"/>
      <c r="M36" s="23"/>
    </row>
    <row r="37" spans="3:15" x14ac:dyDescent="0.3">
      <c r="C37" s="18" t="s">
        <v>856</v>
      </c>
      <c r="D37">
        <v>0.7</v>
      </c>
      <c r="I37" s="174">
        <f>(1+C18)^2</f>
        <v>1.0100249999999997</v>
      </c>
      <c r="J37" t="s">
        <v>997</v>
      </c>
      <c r="K37" s="23" t="s">
        <v>996</v>
      </c>
      <c r="L37" s="23"/>
      <c r="M37" s="23"/>
      <c r="N37" s="23"/>
      <c r="O37" s="23"/>
    </row>
    <row r="38" spans="3:15" x14ac:dyDescent="0.3">
      <c r="I38" s="174">
        <f>C19</f>
        <v>0.970873786407767</v>
      </c>
      <c r="J38" t="s">
        <v>995</v>
      </c>
    </row>
    <row r="39" spans="3:15" x14ac:dyDescent="0.3">
      <c r="I39" s="177">
        <f>C20</f>
        <v>0.98</v>
      </c>
      <c r="J39" s="6" t="s">
        <v>994</v>
      </c>
      <c r="K39" s="6"/>
    </row>
    <row r="40" spans="3:15" x14ac:dyDescent="0.3">
      <c r="I40">
        <f>PRODUCT(I36:I39)</f>
        <v>0.98225282307232986</v>
      </c>
    </row>
    <row r="42" spans="3:15" x14ac:dyDescent="0.3">
      <c r="J42" s="18" t="s">
        <v>993</v>
      </c>
      <c r="K42" s="140">
        <f>K32*I40</f>
        <v>1.2769286699940288</v>
      </c>
    </row>
    <row r="44" spans="3:15" x14ac:dyDescent="0.3">
      <c r="H44" t="s">
        <v>992</v>
      </c>
    </row>
    <row r="45" spans="3:15" x14ac:dyDescent="0.3">
      <c r="H45" t="s">
        <v>991</v>
      </c>
    </row>
  </sheetData>
  <mergeCells count="3">
    <mergeCell ref="C10:F10"/>
    <mergeCell ref="C24:G24"/>
    <mergeCell ref="I24:M24"/>
  </mergeCells>
  <pageMargins left="0.7" right="0.7" top="0.75" bottom="0.75" header="0.3" footer="0.3"/>
  <pageSetup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78760-254F-4082-BA7D-8FCC5B37ACC0}">
  <sheetPr>
    <tabColor theme="5" tint="0.39997558519241921"/>
  </sheetPr>
  <dimension ref="A1:M36"/>
  <sheetViews>
    <sheetView workbookViewId="0">
      <selection activeCell="I49" sqref="I49"/>
    </sheetView>
  </sheetViews>
  <sheetFormatPr defaultRowHeight="14.4" x14ac:dyDescent="0.3"/>
  <cols>
    <col min="3" max="3" width="30.88671875" bestFit="1" customWidth="1"/>
    <col min="9" max="12" width="11.6640625" customWidth="1"/>
  </cols>
  <sheetData>
    <row r="1" spans="1:8" ht="15" thickBot="1" x14ac:dyDescent="0.35">
      <c r="A1" t="s">
        <v>901</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3" spans="1:8" x14ac:dyDescent="0.3">
      <c r="D13" t="s">
        <v>900</v>
      </c>
    </row>
    <row r="14" spans="1:8" x14ac:dyDescent="0.3">
      <c r="D14" t="s">
        <v>899</v>
      </c>
    </row>
    <row r="15" spans="1:8" x14ac:dyDescent="0.3">
      <c r="D15" t="s">
        <v>898</v>
      </c>
    </row>
    <row r="17" spans="3:13" x14ac:dyDescent="0.3">
      <c r="D17" t="s">
        <v>890</v>
      </c>
      <c r="E17" t="s">
        <v>889</v>
      </c>
    </row>
    <row r="18" spans="3:13" x14ac:dyDescent="0.3">
      <c r="C18" t="s">
        <v>892</v>
      </c>
      <c r="D18">
        <v>0.9</v>
      </c>
      <c r="E18">
        <v>1.1000000000000001</v>
      </c>
    </row>
    <row r="21" spans="3:13" ht="15" thickBot="1" x14ac:dyDescent="0.35"/>
    <row r="22" spans="3:13" ht="15" thickBot="1" x14ac:dyDescent="0.35">
      <c r="C22" s="182" t="s">
        <v>10</v>
      </c>
      <c r="D22" s="183"/>
      <c r="E22" s="183"/>
      <c r="F22" s="183"/>
      <c r="G22" s="184"/>
      <c r="I22" s="182" t="s">
        <v>9</v>
      </c>
      <c r="J22" s="183"/>
      <c r="K22" s="183"/>
      <c r="L22" s="183"/>
      <c r="M22" s="184"/>
    </row>
    <row r="24" spans="3:13" x14ac:dyDescent="0.3">
      <c r="D24" t="s">
        <v>820</v>
      </c>
      <c r="E24" t="s">
        <v>890</v>
      </c>
      <c r="F24" t="s">
        <v>889</v>
      </c>
    </row>
    <row r="25" spans="3:13" x14ac:dyDescent="0.3">
      <c r="C25" t="s">
        <v>897</v>
      </c>
      <c r="D25">
        <v>0.7</v>
      </c>
      <c r="E25">
        <v>0.7</v>
      </c>
      <c r="F25">
        <v>0.7</v>
      </c>
    </row>
    <row r="26" spans="3:13" x14ac:dyDescent="0.3">
      <c r="C26" t="s">
        <v>896</v>
      </c>
      <c r="D26">
        <v>1</v>
      </c>
      <c r="E26">
        <v>0.91800000000000004</v>
      </c>
      <c r="F26">
        <v>1.0820000000000001</v>
      </c>
    </row>
    <row r="27" spans="3:13" x14ac:dyDescent="0.3">
      <c r="C27" t="s">
        <v>895</v>
      </c>
      <c r="D27">
        <v>1.952</v>
      </c>
      <c r="E27">
        <v>1.952</v>
      </c>
      <c r="F27">
        <v>1.952</v>
      </c>
    </row>
    <row r="28" spans="3:13" x14ac:dyDescent="0.3">
      <c r="C28" t="s">
        <v>894</v>
      </c>
      <c r="D28">
        <v>1.02</v>
      </c>
      <c r="E28">
        <v>1.02</v>
      </c>
      <c r="F28">
        <v>1.02</v>
      </c>
    </row>
    <row r="29" spans="3:13" x14ac:dyDescent="0.3">
      <c r="C29" t="s">
        <v>893</v>
      </c>
      <c r="D29">
        <v>1</v>
      </c>
      <c r="E29">
        <v>1</v>
      </c>
      <c r="F29">
        <v>1</v>
      </c>
    </row>
    <row r="30" spans="3:13" x14ac:dyDescent="0.3">
      <c r="C30" t="s">
        <v>892</v>
      </c>
      <c r="E30">
        <v>1</v>
      </c>
      <c r="F30">
        <v>1</v>
      </c>
    </row>
    <row r="31" spans="3:13" x14ac:dyDescent="0.3">
      <c r="C31" t="s">
        <v>891</v>
      </c>
      <c r="D31">
        <v>500</v>
      </c>
      <c r="E31">
        <v>500</v>
      </c>
      <c r="F31">
        <v>500</v>
      </c>
    </row>
    <row r="32" spans="3:13" x14ac:dyDescent="0.3">
      <c r="C32" t="s">
        <v>464</v>
      </c>
      <c r="D32">
        <v>2000</v>
      </c>
      <c r="E32">
        <v>1000</v>
      </c>
      <c r="F32">
        <v>1000</v>
      </c>
    </row>
    <row r="35" spans="3:6" x14ac:dyDescent="0.3">
      <c r="D35" t="s">
        <v>820</v>
      </c>
      <c r="E35" t="s">
        <v>890</v>
      </c>
      <c r="F35" t="s">
        <v>889</v>
      </c>
    </row>
    <row r="36" spans="3:6" x14ac:dyDescent="0.3">
      <c r="C36" t="s">
        <v>888</v>
      </c>
      <c r="D36" s="31">
        <f>D32</f>
        <v>2000</v>
      </c>
      <c r="E36" s="31">
        <f>E32</f>
        <v>1000</v>
      </c>
      <c r="F36" s="31">
        <f>F32</f>
        <v>1000</v>
      </c>
    </row>
  </sheetData>
  <mergeCells count="3">
    <mergeCell ref="C10:F10"/>
    <mergeCell ref="C22:G22"/>
    <mergeCell ref="I22:M22"/>
  </mergeCells>
  <pageMargins left="0.7" right="0.7" top="0.75" bottom="0.7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9CF7F-D9C4-49C4-A023-1DF68BB47C76}">
  <sheetPr>
    <tabColor theme="9" tint="0.59999389629810485"/>
  </sheetPr>
  <dimension ref="A1:M46"/>
  <sheetViews>
    <sheetView workbookViewId="0">
      <selection activeCell="P48" sqref="P48"/>
    </sheetView>
  </sheetViews>
  <sheetFormatPr defaultRowHeight="14.4" x14ac:dyDescent="0.3"/>
  <cols>
    <col min="3" max="3" width="30.88671875" bestFit="1" customWidth="1"/>
    <col min="9" max="12" width="11.6640625" customWidth="1"/>
  </cols>
  <sheetData>
    <row r="1" spans="1:8" ht="15" thickBot="1" x14ac:dyDescent="0.35">
      <c r="A1" t="s">
        <v>901</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3" spans="1:8" x14ac:dyDescent="0.3">
      <c r="D13" t="s">
        <v>900</v>
      </c>
    </row>
    <row r="14" spans="1:8" x14ac:dyDescent="0.3">
      <c r="D14" t="s">
        <v>899</v>
      </c>
    </row>
    <row r="15" spans="1:8" x14ac:dyDescent="0.3">
      <c r="D15" t="s">
        <v>898</v>
      </c>
    </row>
    <row r="17" spans="3:13" x14ac:dyDescent="0.3">
      <c r="D17" t="s">
        <v>890</v>
      </c>
      <c r="E17" t="s">
        <v>889</v>
      </c>
    </row>
    <row r="18" spans="3:13" x14ac:dyDescent="0.3">
      <c r="C18" t="s">
        <v>892</v>
      </c>
      <c r="D18">
        <v>0.9</v>
      </c>
      <c r="E18">
        <v>1.1000000000000001</v>
      </c>
    </row>
    <row r="21" spans="3:13" ht="15" thickBot="1" x14ac:dyDescent="0.35"/>
    <row r="22" spans="3:13" ht="15" thickBot="1" x14ac:dyDescent="0.35">
      <c r="C22" s="182" t="s">
        <v>10</v>
      </c>
      <c r="D22" s="183"/>
      <c r="E22" s="183"/>
      <c r="F22" s="183"/>
      <c r="G22" s="184"/>
      <c r="I22" s="182" t="s">
        <v>9</v>
      </c>
      <c r="J22" s="183"/>
      <c r="K22" s="183"/>
      <c r="L22" s="183"/>
      <c r="M22" s="184"/>
    </row>
    <row r="24" spans="3:13" x14ac:dyDescent="0.3">
      <c r="D24" t="s">
        <v>820</v>
      </c>
      <c r="E24" t="s">
        <v>890</v>
      </c>
      <c r="F24" t="s">
        <v>889</v>
      </c>
      <c r="I24" s="6"/>
      <c r="J24" s="35" t="s">
        <v>820</v>
      </c>
      <c r="K24" s="35" t="s">
        <v>70</v>
      </c>
      <c r="L24" s="35" t="s">
        <v>69</v>
      </c>
    </row>
    <row r="25" spans="3:13" x14ac:dyDescent="0.3">
      <c r="C25" t="s">
        <v>897</v>
      </c>
      <c r="D25">
        <v>0.7</v>
      </c>
      <c r="E25">
        <v>0.7</v>
      </c>
      <c r="F25">
        <v>0.7</v>
      </c>
      <c r="I25" t="s">
        <v>540</v>
      </c>
      <c r="J25" s="32"/>
      <c r="K25" s="32">
        <f t="shared" ref="K25:L29" si="0">E25</f>
        <v>0.7</v>
      </c>
      <c r="L25" s="32">
        <f t="shared" si="0"/>
        <v>0.7</v>
      </c>
    </row>
    <row r="26" spans="3:13" x14ac:dyDescent="0.3">
      <c r="C26" t="s">
        <v>896</v>
      </c>
      <c r="D26">
        <v>1</v>
      </c>
      <c r="E26">
        <v>0.91800000000000004</v>
      </c>
      <c r="F26">
        <v>1.0820000000000001</v>
      </c>
      <c r="I26" t="s">
        <v>938</v>
      </c>
      <c r="J26" s="32">
        <f>D26</f>
        <v>1</v>
      </c>
      <c r="K26" s="32">
        <f t="shared" si="0"/>
        <v>0.91800000000000004</v>
      </c>
      <c r="L26" s="32">
        <f t="shared" si="0"/>
        <v>1.0820000000000001</v>
      </c>
    </row>
    <row r="27" spans="3:13" x14ac:dyDescent="0.3">
      <c r="C27" t="s">
        <v>895</v>
      </c>
      <c r="D27">
        <v>1.952</v>
      </c>
      <c r="E27">
        <v>1.952</v>
      </c>
      <c r="F27">
        <v>1.952</v>
      </c>
      <c r="I27" t="s">
        <v>937</v>
      </c>
      <c r="J27" s="32">
        <f>D27</f>
        <v>1.952</v>
      </c>
      <c r="K27" s="32">
        <f t="shared" si="0"/>
        <v>1.952</v>
      </c>
      <c r="L27" s="32">
        <f t="shared" si="0"/>
        <v>1.952</v>
      </c>
    </row>
    <row r="28" spans="3:13" x14ac:dyDescent="0.3">
      <c r="C28" t="s">
        <v>894</v>
      </c>
      <c r="D28">
        <v>1.02</v>
      </c>
      <c r="E28">
        <v>1.02</v>
      </c>
      <c r="F28">
        <v>1.02</v>
      </c>
      <c r="I28" t="s">
        <v>936</v>
      </c>
      <c r="J28" s="32">
        <f>D28</f>
        <v>1.02</v>
      </c>
      <c r="K28" s="32">
        <f t="shared" si="0"/>
        <v>1.02</v>
      </c>
      <c r="L28" s="32">
        <f t="shared" si="0"/>
        <v>1.02</v>
      </c>
    </row>
    <row r="29" spans="3:13" x14ac:dyDescent="0.3">
      <c r="C29" t="s">
        <v>893</v>
      </c>
      <c r="D29">
        <v>1</v>
      </c>
      <c r="E29">
        <v>1</v>
      </c>
      <c r="F29">
        <v>1</v>
      </c>
      <c r="I29" t="s">
        <v>935</v>
      </c>
      <c r="J29" s="32">
        <f>D29</f>
        <v>1</v>
      </c>
      <c r="K29" s="32">
        <f t="shared" si="0"/>
        <v>1</v>
      </c>
      <c r="L29" s="32">
        <f t="shared" si="0"/>
        <v>1</v>
      </c>
    </row>
    <row r="30" spans="3:13" x14ac:dyDescent="0.3">
      <c r="C30" t="s">
        <v>892</v>
      </c>
      <c r="E30">
        <v>1</v>
      </c>
      <c r="F30">
        <v>1</v>
      </c>
      <c r="I30" t="s">
        <v>1004</v>
      </c>
      <c r="J30" s="32"/>
      <c r="K30" s="32">
        <f>D18</f>
        <v>0.9</v>
      </c>
      <c r="L30" s="32">
        <f>E18</f>
        <v>1.1000000000000001</v>
      </c>
    </row>
    <row r="31" spans="3:13" x14ac:dyDescent="0.3">
      <c r="C31" t="s">
        <v>891</v>
      </c>
      <c r="D31">
        <v>500</v>
      </c>
      <c r="E31">
        <v>500</v>
      </c>
      <c r="F31">
        <v>500</v>
      </c>
      <c r="I31" t="s">
        <v>934</v>
      </c>
      <c r="J31" s="160">
        <f>D31</f>
        <v>500</v>
      </c>
      <c r="K31" s="160">
        <f>E31*(K30/E30)</f>
        <v>450</v>
      </c>
      <c r="L31" s="160">
        <f>F31*(L30/F30)</f>
        <v>550</v>
      </c>
    </row>
    <row r="32" spans="3:13" x14ac:dyDescent="0.3">
      <c r="C32" t="s">
        <v>464</v>
      </c>
      <c r="D32">
        <v>2000</v>
      </c>
      <c r="E32">
        <v>1000</v>
      </c>
      <c r="F32">
        <v>1000</v>
      </c>
      <c r="I32" t="s">
        <v>464</v>
      </c>
      <c r="J32" s="131">
        <f>D32</f>
        <v>2000</v>
      </c>
      <c r="K32" s="131">
        <f>E32</f>
        <v>1000</v>
      </c>
      <c r="L32" s="131">
        <f>F32</f>
        <v>1000</v>
      </c>
    </row>
    <row r="33" spans="3:12" x14ac:dyDescent="0.3">
      <c r="J33" s="32"/>
      <c r="K33" s="36">
        <f>E36/$D$36</f>
        <v>0.5</v>
      </c>
      <c r="L33" s="36">
        <f>F36/$D$36</f>
        <v>0.5</v>
      </c>
    </row>
    <row r="34" spans="3:12" x14ac:dyDescent="0.3">
      <c r="J34" s="32"/>
      <c r="K34" s="32"/>
      <c r="L34" s="32"/>
    </row>
    <row r="35" spans="3:12" x14ac:dyDescent="0.3">
      <c r="D35" t="s">
        <v>820</v>
      </c>
      <c r="E35" t="s">
        <v>890</v>
      </c>
      <c r="F35" t="s">
        <v>889</v>
      </c>
      <c r="I35" t="s">
        <v>933</v>
      </c>
      <c r="J35" s="32">
        <f>(K33*K26*K28*K29+L33*L26*L28*L29)</f>
        <v>1.02</v>
      </c>
      <c r="K35" s="179">
        <f>(K26*K28*K29)</f>
        <v>0.93636000000000008</v>
      </c>
      <c r="L35" s="179">
        <f>(L26*L28*L29)</f>
        <v>1.1036400000000002</v>
      </c>
    </row>
    <row r="36" spans="3:12" x14ac:dyDescent="0.3">
      <c r="C36" t="s">
        <v>888</v>
      </c>
      <c r="D36" s="31">
        <f>D32</f>
        <v>2000</v>
      </c>
      <c r="E36" s="31">
        <f>E32</f>
        <v>1000</v>
      </c>
      <c r="F36" s="31">
        <f>F32</f>
        <v>1000</v>
      </c>
      <c r="I36" t="s">
        <v>931</v>
      </c>
      <c r="J36" s="32">
        <f>K33*K25*K27*K28*K29+L33*L25*L27*L28*L29</f>
        <v>1.3937279999999999</v>
      </c>
      <c r="K36" s="32">
        <f>K25*K27*K28*K29</f>
        <v>1.3937279999999999</v>
      </c>
      <c r="L36" s="32">
        <f>L25*L27*L28*L29</f>
        <v>1.3937279999999999</v>
      </c>
    </row>
    <row r="37" spans="3:12" x14ac:dyDescent="0.3">
      <c r="I37" t="s">
        <v>929</v>
      </c>
      <c r="J37" s="32"/>
      <c r="K37" s="171">
        <f>(K35/$J$35-K36/$J$36)*$J$31</f>
        <v>-40.999999999999979</v>
      </c>
      <c r="L37" s="171">
        <f>(L35/$J$35-L36/$J$36)*$J$31</f>
        <v>41.000000000000036</v>
      </c>
    </row>
    <row r="38" spans="3:12" x14ac:dyDescent="0.3">
      <c r="J38" s="32"/>
      <c r="K38" s="32"/>
      <c r="L38" s="32"/>
    </row>
    <row r="39" spans="3:12" x14ac:dyDescent="0.3">
      <c r="J39" s="32"/>
      <c r="K39" s="32"/>
      <c r="L39" s="32"/>
    </row>
    <row r="40" spans="3:12" x14ac:dyDescent="0.3">
      <c r="I40" s="18" t="s">
        <v>1003</v>
      </c>
      <c r="J40" s="32"/>
      <c r="K40" s="32">
        <f>K26/J26</f>
        <v>0.91800000000000004</v>
      </c>
      <c r="L40" s="32">
        <f>L26/J26</f>
        <v>1.0820000000000001</v>
      </c>
    </row>
    <row r="41" spans="3:12" x14ac:dyDescent="0.3">
      <c r="I41" s="18" t="s">
        <v>928</v>
      </c>
      <c r="J41" s="160">
        <f>J32*J31*12</f>
        <v>12000000</v>
      </c>
      <c r="K41" s="160">
        <f>K32*K31*12</f>
        <v>5400000</v>
      </c>
      <c r="L41" s="160">
        <f>L32*L31*12</f>
        <v>6600000</v>
      </c>
    </row>
    <row r="42" spans="3:12" x14ac:dyDescent="0.3">
      <c r="I42" s="18" t="s">
        <v>461</v>
      </c>
      <c r="J42" s="160">
        <f>SUM(K42:L42)</f>
        <v>12098400</v>
      </c>
      <c r="K42" s="160">
        <f>K41*K40</f>
        <v>4957200</v>
      </c>
      <c r="L42" s="160">
        <f>L41*L40</f>
        <v>7141200.0000000009</v>
      </c>
    </row>
    <row r="43" spans="3:12" x14ac:dyDescent="0.3">
      <c r="I43" s="18" t="s">
        <v>927</v>
      </c>
      <c r="J43" s="160">
        <f>J41-J42</f>
        <v>-98400</v>
      </c>
      <c r="K43" s="160">
        <f>K41-K42</f>
        <v>442800</v>
      </c>
      <c r="L43" s="160">
        <f>L41-L42</f>
        <v>-541200.00000000093</v>
      </c>
    </row>
    <row r="44" spans="3:12" x14ac:dyDescent="0.3">
      <c r="I44" s="18" t="s">
        <v>926</v>
      </c>
      <c r="J44" s="160">
        <f>SUM(K44:L44)</f>
        <v>6.9849193096160889E-10</v>
      </c>
      <c r="K44" s="160">
        <f>K37*12*K32</f>
        <v>-491999.99999999977</v>
      </c>
      <c r="L44" s="160">
        <f>L37*12*L32</f>
        <v>492000.00000000047</v>
      </c>
    </row>
    <row r="45" spans="3:12" x14ac:dyDescent="0.3">
      <c r="I45" s="18" t="s">
        <v>925</v>
      </c>
      <c r="J45" s="160">
        <f>J43-J44</f>
        <v>-98400.000000000698</v>
      </c>
      <c r="K45" s="160">
        <f>SUM(K43:K44)</f>
        <v>-49199.999999999767</v>
      </c>
      <c r="L45" s="160">
        <f>SUM(L43:L44)</f>
        <v>-49200.000000000466</v>
      </c>
    </row>
    <row r="46" spans="3:12" x14ac:dyDescent="0.3">
      <c r="I46" s="18" t="s">
        <v>924</v>
      </c>
      <c r="J46" s="169">
        <f>J45/J41</f>
        <v>-8.2000000000000579E-3</v>
      </c>
      <c r="K46" s="178">
        <f>K45/K41</f>
        <v>-9.1111111111110681E-3</v>
      </c>
      <c r="L46" s="178">
        <f>L45/L41</f>
        <v>-7.4545454545455253E-3</v>
      </c>
    </row>
  </sheetData>
  <mergeCells count="3">
    <mergeCell ref="C10:F10"/>
    <mergeCell ref="C22:G22"/>
    <mergeCell ref="I22:M22"/>
  </mergeCells>
  <pageMargins left="0.7" right="0.7" top="0.75" bottom="0.75" header="0.3" footer="0.3"/>
  <pageSetup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D1E1A-9D0C-4B4F-ADB0-87995F4CF8D4}">
  <sheetPr>
    <tabColor theme="5" tint="0.39997558519241921"/>
  </sheetPr>
  <dimension ref="A1:O37"/>
  <sheetViews>
    <sheetView workbookViewId="0">
      <selection activeCell="I49" sqref="I49"/>
    </sheetView>
  </sheetViews>
  <sheetFormatPr defaultRowHeight="14.4" x14ac:dyDescent="0.3"/>
  <cols>
    <col min="3" max="3" width="27.33203125" customWidth="1"/>
    <col min="4" max="4" width="14.33203125" customWidth="1"/>
    <col min="5" max="6" width="17.5546875" customWidth="1"/>
    <col min="7" max="9" width="14.33203125" customWidth="1"/>
  </cols>
  <sheetData>
    <row r="1" spans="1:8" ht="15" thickBot="1" x14ac:dyDescent="0.35">
      <c r="A1" t="s">
        <v>913</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7" spans="1:8" ht="15" thickBot="1" x14ac:dyDescent="0.35"/>
    <row r="8" spans="1:8" ht="15" thickBot="1" x14ac:dyDescent="0.35">
      <c r="C8" s="182" t="s">
        <v>16</v>
      </c>
      <c r="D8" s="183"/>
      <c r="E8" s="183"/>
      <c r="F8" s="184"/>
    </row>
    <row r="10" spans="1:8" x14ac:dyDescent="0.3">
      <c r="D10" t="s">
        <v>912</v>
      </c>
    </row>
    <row r="11" spans="1:8" x14ac:dyDescent="0.3">
      <c r="C11">
        <v>0.8</v>
      </c>
      <c r="D11" t="s">
        <v>911</v>
      </c>
    </row>
    <row r="12" spans="1:8" x14ac:dyDescent="0.3">
      <c r="C12">
        <f>1.1</f>
        <v>1.1000000000000001</v>
      </c>
      <c r="D12" t="s">
        <v>910</v>
      </c>
    </row>
    <row r="19" spans="3:15" ht="15" thickBot="1" x14ac:dyDescent="0.35"/>
    <row r="20" spans="3:15" ht="15" thickBot="1" x14ac:dyDescent="0.35">
      <c r="C20" s="182" t="s">
        <v>10</v>
      </c>
      <c r="D20" s="183"/>
      <c r="E20" s="183"/>
      <c r="F20" s="183"/>
      <c r="G20" s="183"/>
      <c r="H20" s="183"/>
      <c r="I20" s="184"/>
      <c r="K20" s="182" t="s">
        <v>9</v>
      </c>
      <c r="L20" s="183"/>
      <c r="M20" s="183"/>
      <c r="N20" s="183"/>
      <c r="O20" s="184"/>
    </row>
    <row r="23" spans="3:15" x14ac:dyDescent="0.3">
      <c r="C23" t="s">
        <v>847</v>
      </c>
    </row>
    <row r="24" spans="3:15" x14ac:dyDescent="0.3">
      <c r="D24" s="168" t="s">
        <v>904</v>
      </c>
      <c r="E24" s="167"/>
      <c r="F24" s="166"/>
      <c r="G24" s="168" t="s">
        <v>909</v>
      </c>
      <c r="H24" s="167"/>
      <c r="I24" s="166"/>
    </row>
    <row r="25" spans="3:15" x14ac:dyDescent="0.3">
      <c r="D25" s="164" t="s">
        <v>826</v>
      </c>
      <c r="E25" s="164" t="s">
        <v>908</v>
      </c>
      <c r="F25" s="164" t="s">
        <v>907</v>
      </c>
      <c r="G25" s="164" t="s">
        <v>826</v>
      </c>
      <c r="H25" s="164" t="s">
        <v>908</v>
      </c>
      <c r="I25" s="164" t="s">
        <v>907</v>
      </c>
    </row>
    <row r="26" spans="3:15" x14ac:dyDescent="0.3">
      <c r="D26" s="135"/>
      <c r="E26" s="135" t="s">
        <v>906</v>
      </c>
      <c r="F26" s="135" t="s">
        <v>905</v>
      </c>
      <c r="G26" s="135"/>
      <c r="H26" s="135" t="s">
        <v>906</v>
      </c>
      <c r="I26" s="135" t="s">
        <v>905</v>
      </c>
    </row>
    <row r="27" spans="3:15" x14ac:dyDescent="0.3">
      <c r="C27" s="2" t="s">
        <v>822</v>
      </c>
      <c r="D27" s="2">
        <v>0.14000000000000001</v>
      </c>
      <c r="E27" s="2" t="s">
        <v>840</v>
      </c>
      <c r="F27" s="2">
        <v>0.37019999999999997</v>
      </c>
      <c r="G27" s="2">
        <v>0.1628</v>
      </c>
      <c r="H27" s="2" t="s">
        <v>840</v>
      </c>
      <c r="I27" s="2">
        <v>0.38290000000000002</v>
      </c>
    </row>
    <row r="28" spans="3:15" x14ac:dyDescent="0.3">
      <c r="C28" s="2" t="s">
        <v>823</v>
      </c>
      <c r="D28" s="2">
        <v>0.86</v>
      </c>
      <c r="E28" s="2">
        <v>0.36799999999999999</v>
      </c>
      <c r="F28" s="2">
        <v>0.38100000000000001</v>
      </c>
      <c r="G28" s="2">
        <v>0.83720000000000006</v>
      </c>
      <c r="H28" s="2">
        <v>0.37909999999999999</v>
      </c>
      <c r="I28" s="2">
        <v>0.37909999999999999</v>
      </c>
    </row>
    <row r="32" spans="3:15" ht="43.2" x14ac:dyDescent="0.3">
      <c r="C32" s="18" t="s">
        <v>904</v>
      </c>
      <c r="D32" s="164" t="s">
        <v>838</v>
      </c>
      <c r="E32" s="165" t="s">
        <v>903</v>
      </c>
      <c r="F32" s="164" t="s">
        <v>835</v>
      </c>
    </row>
    <row r="33" spans="3:6" ht="28.8" x14ac:dyDescent="0.3">
      <c r="C33" s="163" t="s">
        <v>902</v>
      </c>
      <c r="D33" s="48">
        <v>111</v>
      </c>
      <c r="E33" s="48">
        <v>167</v>
      </c>
      <c r="F33" s="48">
        <v>167</v>
      </c>
    </row>
    <row r="34" spans="3:6" x14ac:dyDescent="0.3">
      <c r="C34" s="162" t="s">
        <v>833</v>
      </c>
      <c r="D34" s="48">
        <v>3</v>
      </c>
      <c r="E34" s="48">
        <v>4</v>
      </c>
      <c r="F34" s="48">
        <v>11</v>
      </c>
    </row>
    <row r="35" spans="3:6" x14ac:dyDescent="0.3">
      <c r="C35" s="162" t="s">
        <v>832</v>
      </c>
      <c r="D35" s="48">
        <v>9</v>
      </c>
      <c r="E35" s="48">
        <v>13</v>
      </c>
      <c r="F35" s="48">
        <v>44</v>
      </c>
    </row>
    <row r="36" spans="3:6" x14ac:dyDescent="0.3">
      <c r="C36" s="162" t="s">
        <v>831</v>
      </c>
      <c r="D36" s="48">
        <v>3</v>
      </c>
      <c r="E36" s="48">
        <v>4</v>
      </c>
      <c r="F36" s="48">
        <v>11</v>
      </c>
    </row>
    <row r="37" spans="3:6" x14ac:dyDescent="0.3">
      <c r="C37" s="162" t="s">
        <v>830</v>
      </c>
      <c r="D37" s="2" t="s">
        <v>214</v>
      </c>
      <c r="E37" s="2">
        <v>1.0281</v>
      </c>
      <c r="F37" s="2">
        <v>1.0032000000000001</v>
      </c>
    </row>
  </sheetData>
  <mergeCells count="3">
    <mergeCell ref="C8:F8"/>
    <mergeCell ref="C20:I20"/>
    <mergeCell ref="K20:O2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2DCE1-4027-46D2-A544-BA04E61E232E}">
  <sheetPr>
    <tabColor theme="5" tint="0.39997558519241921"/>
  </sheetPr>
  <dimension ref="A1:N47"/>
  <sheetViews>
    <sheetView workbookViewId="0">
      <selection activeCell="K41" sqref="K41"/>
    </sheetView>
  </sheetViews>
  <sheetFormatPr defaultRowHeight="14.4" x14ac:dyDescent="0.3"/>
  <cols>
    <col min="12" max="21" width="10.44140625" customWidth="1"/>
    <col min="22" max="22" width="10.109375" bestFit="1" customWidth="1"/>
    <col min="23" max="23" width="14.6640625" bestFit="1" customWidth="1"/>
    <col min="24" max="24" width="13.109375" customWidth="1"/>
    <col min="25" max="25" width="13.6640625" bestFit="1" customWidth="1"/>
  </cols>
  <sheetData>
    <row r="1" spans="1:9" ht="15" thickBot="1" x14ac:dyDescent="0.35">
      <c r="A1" t="s">
        <v>92</v>
      </c>
      <c r="H1" s="25" t="s">
        <v>40</v>
      </c>
      <c r="I1" s="24"/>
    </row>
    <row r="2" spans="1:9" x14ac:dyDescent="0.3">
      <c r="H2" s="23" t="s">
        <v>39</v>
      </c>
      <c r="I2" s="23"/>
    </row>
    <row r="3" spans="1:9" ht="15" thickBot="1" x14ac:dyDescent="0.35">
      <c r="H3" s="22" t="s">
        <v>38</v>
      </c>
      <c r="I3" s="22"/>
    </row>
    <row r="4" spans="1:9" ht="15.6" thickTop="1" thickBot="1" x14ac:dyDescent="0.35">
      <c r="H4" s="21" t="s">
        <v>37</v>
      </c>
      <c r="I4" s="21"/>
    </row>
    <row r="5" spans="1:9" ht="15" thickTop="1" x14ac:dyDescent="0.3">
      <c r="H5" s="20" t="s">
        <v>36</v>
      </c>
      <c r="I5" s="19"/>
    </row>
    <row r="9" spans="1:9" ht="15" thickBot="1" x14ac:dyDescent="0.35"/>
    <row r="10" spans="1:9" ht="15" thickBot="1" x14ac:dyDescent="0.35">
      <c r="C10" s="182" t="s">
        <v>16</v>
      </c>
      <c r="D10" s="183"/>
      <c r="E10" s="183"/>
      <c r="F10" s="183"/>
      <c r="G10" s="184"/>
    </row>
    <row r="12" spans="1:9" x14ac:dyDescent="0.3">
      <c r="A12" t="s">
        <v>34</v>
      </c>
      <c r="D12" t="s">
        <v>91</v>
      </c>
    </row>
    <row r="13" spans="1:9" x14ac:dyDescent="0.3">
      <c r="D13" t="s">
        <v>90</v>
      </c>
    </row>
    <row r="14" spans="1:9" x14ac:dyDescent="0.3">
      <c r="D14" t="s">
        <v>89</v>
      </c>
    </row>
    <row r="15" spans="1:9" x14ac:dyDescent="0.3">
      <c r="C15" s="7">
        <v>15</v>
      </c>
      <c r="D15" t="s">
        <v>88</v>
      </c>
    </row>
    <row r="16" spans="1:9" x14ac:dyDescent="0.3">
      <c r="C16" s="3">
        <v>0.01</v>
      </c>
      <c r="D16" t="s">
        <v>87</v>
      </c>
    </row>
    <row r="17" spans="1:14" x14ac:dyDescent="0.3">
      <c r="D17" t="s">
        <v>86</v>
      </c>
    </row>
    <row r="19" spans="1:14" x14ac:dyDescent="0.3">
      <c r="A19" t="s">
        <v>17</v>
      </c>
      <c r="D19" t="s">
        <v>85</v>
      </c>
    </row>
    <row r="20" spans="1:14" x14ac:dyDescent="0.3">
      <c r="D20" t="s">
        <v>84</v>
      </c>
    </row>
    <row r="21" spans="1:14" x14ac:dyDescent="0.3">
      <c r="D21" t="s">
        <v>83</v>
      </c>
    </row>
    <row r="22" spans="1:14" x14ac:dyDescent="0.3">
      <c r="D22" t="s">
        <v>82</v>
      </c>
    </row>
    <row r="23" spans="1:14" x14ac:dyDescent="0.3">
      <c r="C23" s="3">
        <v>0.03</v>
      </c>
      <c r="D23" t="s">
        <v>81</v>
      </c>
    </row>
    <row r="25" spans="1:14" ht="15" thickBot="1" x14ac:dyDescent="0.35"/>
    <row r="26" spans="1:14" ht="15" thickBot="1" x14ac:dyDescent="0.35">
      <c r="C26" s="182" t="s">
        <v>10</v>
      </c>
      <c r="D26" s="183"/>
      <c r="E26" s="183"/>
      <c r="F26" s="183"/>
      <c r="G26" s="183"/>
      <c r="H26" s="184"/>
      <c r="J26" s="182" t="s">
        <v>9</v>
      </c>
      <c r="K26" s="183"/>
      <c r="L26" s="183"/>
      <c r="M26" s="183"/>
      <c r="N26" s="184"/>
    </row>
    <row r="27" spans="1:14" x14ac:dyDescent="0.3">
      <c r="A27" t="s">
        <v>34</v>
      </c>
      <c r="C27" s="33"/>
      <c r="D27" s="33"/>
      <c r="E27" s="33"/>
      <c r="F27" s="33"/>
      <c r="G27" s="33"/>
      <c r="H27" s="33"/>
      <c r="J27" s="33"/>
      <c r="K27" s="33"/>
      <c r="L27" s="33"/>
      <c r="M27" s="33"/>
      <c r="N27" s="33"/>
    </row>
    <row r="28" spans="1:14" x14ac:dyDescent="0.3">
      <c r="C28" t="s">
        <v>80</v>
      </c>
    </row>
    <row r="29" spans="1:14" ht="28.8" x14ac:dyDescent="0.3">
      <c r="C29" t="s">
        <v>73</v>
      </c>
      <c r="D29" s="29" t="s">
        <v>72</v>
      </c>
      <c r="E29" s="29" t="s">
        <v>71</v>
      </c>
    </row>
    <row r="30" spans="1:14" x14ac:dyDescent="0.3">
      <c r="C30" t="s">
        <v>70</v>
      </c>
      <c r="D30" s="7">
        <v>10</v>
      </c>
      <c r="E30" s="7">
        <v>15</v>
      </c>
      <c r="F30" s="7"/>
    </row>
    <row r="31" spans="1:14" x14ac:dyDescent="0.3">
      <c r="C31" t="s">
        <v>69</v>
      </c>
      <c r="D31" s="7">
        <v>0</v>
      </c>
      <c r="E31" t="s">
        <v>79</v>
      </c>
    </row>
    <row r="32" spans="1:14" x14ac:dyDescent="0.3">
      <c r="C32" t="s">
        <v>68</v>
      </c>
      <c r="D32" s="7">
        <v>15</v>
      </c>
      <c r="E32" s="7">
        <v>15</v>
      </c>
      <c r="F32" s="7"/>
    </row>
    <row r="36" spans="1:8" x14ac:dyDescent="0.3">
      <c r="G36" s="185" t="s">
        <v>78</v>
      </c>
      <c r="H36" s="185"/>
    </row>
    <row r="37" spans="1:8" x14ac:dyDescent="0.3">
      <c r="C37" t="s">
        <v>73</v>
      </c>
      <c r="D37" t="s">
        <v>77</v>
      </c>
      <c r="E37" t="s">
        <v>76</v>
      </c>
      <c r="F37" t="s">
        <v>75</v>
      </c>
      <c r="G37">
        <v>2019</v>
      </c>
      <c r="H37">
        <v>2021</v>
      </c>
    </row>
    <row r="38" spans="1:8" x14ac:dyDescent="0.3">
      <c r="C38" t="s">
        <v>70</v>
      </c>
      <c r="D38" s="31">
        <v>30000</v>
      </c>
      <c r="E38" s="31">
        <v>4800</v>
      </c>
      <c r="F38" s="30">
        <v>0.01</v>
      </c>
      <c r="G38" s="30">
        <v>0.45</v>
      </c>
      <c r="H38" s="30">
        <v>0.55000000000000004</v>
      </c>
    </row>
    <row r="39" spans="1:8" x14ac:dyDescent="0.3">
      <c r="C39" t="s">
        <v>69</v>
      </c>
      <c r="D39" s="31">
        <v>20000</v>
      </c>
      <c r="E39" s="31">
        <v>5500</v>
      </c>
      <c r="F39" s="30">
        <v>0.01</v>
      </c>
      <c r="G39" s="30">
        <v>1</v>
      </c>
      <c r="H39" s="30">
        <v>1</v>
      </c>
    </row>
    <row r="40" spans="1:8" x14ac:dyDescent="0.3">
      <c r="C40" t="s">
        <v>68</v>
      </c>
      <c r="D40" s="31">
        <v>10000</v>
      </c>
      <c r="E40" s="31">
        <v>5000</v>
      </c>
      <c r="F40" s="30">
        <v>0</v>
      </c>
      <c r="G40" s="30">
        <v>0.5</v>
      </c>
      <c r="H40" s="30">
        <v>0.5</v>
      </c>
    </row>
    <row r="42" spans="1:8" x14ac:dyDescent="0.3">
      <c r="A42" t="s">
        <v>17</v>
      </c>
    </row>
    <row r="43" spans="1:8" x14ac:dyDescent="0.3">
      <c r="C43" t="s">
        <v>74</v>
      </c>
    </row>
    <row r="44" spans="1:8" ht="28.8" x14ac:dyDescent="0.3">
      <c r="C44" s="29" t="s">
        <v>73</v>
      </c>
      <c r="D44" s="29" t="s">
        <v>72</v>
      </c>
      <c r="E44" s="29" t="s">
        <v>71</v>
      </c>
    </row>
    <row r="45" spans="1:8" x14ac:dyDescent="0.3">
      <c r="C45" t="s">
        <v>70</v>
      </c>
      <c r="D45" s="7">
        <v>85</v>
      </c>
      <c r="E45" s="7">
        <v>90</v>
      </c>
    </row>
    <row r="46" spans="1:8" x14ac:dyDescent="0.3">
      <c r="C46" t="s">
        <v>69</v>
      </c>
      <c r="D46" s="7">
        <v>80</v>
      </c>
      <c r="E46" s="7">
        <v>85</v>
      </c>
    </row>
    <row r="47" spans="1:8" x14ac:dyDescent="0.3">
      <c r="C47" t="s">
        <v>68</v>
      </c>
      <c r="D47" s="7">
        <v>75</v>
      </c>
      <c r="E47" s="7">
        <v>82</v>
      </c>
    </row>
  </sheetData>
  <mergeCells count="4">
    <mergeCell ref="C10:G10"/>
    <mergeCell ref="C26:H26"/>
    <mergeCell ref="J26:N26"/>
    <mergeCell ref="G36:H36"/>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D2A4B-ACC2-4216-996C-34F351ADA14B}">
  <sheetPr>
    <tabColor theme="9" tint="0.59999389629810485"/>
  </sheetPr>
  <dimension ref="A1:Q62"/>
  <sheetViews>
    <sheetView workbookViewId="0">
      <selection activeCell="P48" sqref="P48"/>
    </sheetView>
  </sheetViews>
  <sheetFormatPr defaultRowHeight="14.4" x14ac:dyDescent="0.3"/>
  <cols>
    <col min="3" max="3" width="27.33203125" customWidth="1"/>
    <col min="4" max="4" width="14.33203125" customWidth="1"/>
    <col min="5" max="6" width="17.5546875" customWidth="1"/>
    <col min="7" max="9" width="14.33203125" customWidth="1"/>
  </cols>
  <sheetData>
    <row r="1" spans="1:8" ht="15" thickBot="1" x14ac:dyDescent="0.35">
      <c r="A1" t="s">
        <v>913</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7" spans="1:8" ht="15" thickBot="1" x14ac:dyDescent="0.35"/>
    <row r="8" spans="1:8" ht="15" thickBot="1" x14ac:dyDescent="0.35">
      <c r="C8" s="182" t="s">
        <v>16</v>
      </c>
      <c r="D8" s="183"/>
      <c r="E8" s="183"/>
      <c r="F8" s="184"/>
    </row>
    <row r="10" spans="1:8" x14ac:dyDescent="0.3">
      <c r="D10" t="s">
        <v>912</v>
      </c>
    </row>
    <row r="11" spans="1:8" x14ac:dyDescent="0.3">
      <c r="C11">
        <v>0.8</v>
      </c>
      <c r="D11" t="s">
        <v>911</v>
      </c>
    </row>
    <row r="12" spans="1:8" x14ac:dyDescent="0.3">
      <c r="C12">
        <f>1.1</f>
        <v>1.1000000000000001</v>
      </c>
      <c r="D12" t="s">
        <v>910</v>
      </c>
    </row>
    <row r="19" spans="3:15" ht="15" thickBot="1" x14ac:dyDescent="0.35"/>
    <row r="20" spans="3:15" ht="15" thickBot="1" x14ac:dyDescent="0.35">
      <c r="C20" s="182" t="s">
        <v>10</v>
      </c>
      <c r="D20" s="183"/>
      <c r="E20" s="183"/>
      <c r="F20" s="183"/>
      <c r="G20" s="183"/>
      <c r="H20" s="183"/>
      <c r="I20" s="184"/>
      <c r="K20" s="182" t="s">
        <v>9</v>
      </c>
      <c r="L20" s="183"/>
      <c r="M20" s="183"/>
      <c r="N20" s="183"/>
      <c r="O20" s="184"/>
    </row>
    <row r="23" spans="3:15" x14ac:dyDescent="0.3">
      <c r="C23" t="s">
        <v>847</v>
      </c>
    </row>
    <row r="24" spans="3:15" x14ac:dyDescent="0.3">
      <c r="D24" s="168" t="s">
        <v>904</v>
      </c>
      <c r="E24" s="167"/>
      <c r="F24" s="166"/>
      <c r="G24" s="168" t="s">
        <v>909</v>
      </c>
      <c r="H24" s="167"/>
      <c r="I24" s="166"/>
      <c r="K24" t="s">
        <v>1015</v>
      </c>
      <c r="L24" t="s">
        <v>1014</v>
      </c>
    </row>
    <row r="25" spans="3:15" x14ac:dyDescent="0.3">
      <c r="D25" s="164" t="s">
        <v>826</v>
      </c>
      <c r="E25" s="164" t="s">
        <v>908</v>
      </c>
      <c r="F25" s="164" t="s">
        <v>907</v>
      </c>
      <c r="G25" s="164" t="s">
        <v>826</v>
      </c>
      <c r="H25" s="164" t="s">
        <v>908</v>
      </c>
      <c r="I25" s="164" t="s">
        <v>907</v>
      </c>
      <c r="M25" t="s">
        <v>989</v>
      </c>
    </row>
    <row r="26" spans="3:15" x14ac:dyDescent="0.3">
      <c r="D26" s="135"/>
      <c r="E26" s="135" t="s">
        <v>906</v>
      </c>
      <c r="F26" s="135" t="s">
        <v>905</v>
      </c>
      <c r="G26" s="135"/>
      <c r="H26" s="135" t="s">
        <v>906</v>
      </c>
      <c r="I26" s="135" t="s">
        <v>905</v>
      </c>
      <c r="M26" t="s">
        <v>988</v>
      </c>
    </row>
    <row r="27" spans="3:15" x14ac:dyDescent="0.3">
      <c r="C27" s="2" t="s">
        <v>822</v>
      </c>
      <c r="D27" s="2">
        <v>0.14000000000000001</v>
      </c>
      <c r="E27" s="2" t="s">
        <v>840</v>
      </c>
      <c r="F27" s="2">
        <v>0.37019999999999997</v>
      </c>
      <c r="G27" s="2">
        <v>0.1628</v>
      </c>
      <c r="H27" s="2" t="s">
        <v>840</v>
      </c>
      <c r="I27" s="2">
        <v>0.38290000000000002</v>
      </c>
      <c r="K27" s="174">
        <f>E28</f>
        <v>0.36799999999999999</v>
      </c>
      <c r="L27" s="174">
        <f>H28</f>
        <v>0.37909999999999999</v>
      </c>
      <c r="M27" t="s">
        <v>1013</v>
      </c>
    </row>
    <row r="28" spans="3:15" x14ac:dyDescent="0.3">
      <c r="C28" s="2" t="s">
        <v>823</v>
      </c>
      <c r="D28" s="2">
        <v>0.86</v>
      </c>
      <c r="E28" s="2">
        <v>0.36799999999999999</v>
      </c>
      <c r="F28" s="2">
        <v>0.38100000000000001</v>
      </c>
      <c r="G28" s="2">
        <v>0.83720000000000006</v>
      </c>
      <c r="H28" s="2">
        <v>0.37909999999999999</v>
      </c>
      <c r="I28" s="2">
        <v>0.37909999999999999</v>
      </c>
      <c r="K28" s="174">
        <f>F28</f>
        <v>0.38100000000000001</v>
      </c>
      <c r="L28" s="174">
        <f>I28</f>
        <v>0.37909999999999999</v>
      </c>
      <c r="M28" t="s">
        <v>986</v>
      </c>
    </row>
    <row r="29" spans="3:15" x14ac:dyDescent="0.3">
      <c r="K29" s="174">
        <f>F27</f>
        <v>0.37019999999999997</v>
      </c>
      <c r="L29" s="174">
        <f>I27</f>
        <v>0.38290000000000002</v>
      </c>
      <c r="M29" t="s">
        <v>985</v>
      </c>
    </row>
    <row r="30" spans="3:15" x14ac:dyDescent="0.3">
      <c r="K30" s="174">
        <f>K27/K28*K29</f>
        <v>0.35756850393700784</v>
      </c>
      <c r="L30" s="174">
        <f>(L27/L28)*L29</f>
        <v>0.38290000000000002</v>
      </c>
      <c r="M30" t="s">
        <v>984</v>
      </c>
    </row>
    <row r="31" spans="3:15" x14ac:dyDescent="0.3">
      <c r="K31" s="174">
        <f>0.5*K29+0.5*K30</f>
        <v>0.36388425196850394</v>
      </c>
      <c r="L31" s="174">
        <f>0.5*L29+0.5*L30</f>
        <v>0.38290000000000002</v>
      </c>
      <c r="M31" t="s">
        <v>983</v>
      </c>
    </row>
    <row r="32" spans="3:15" ht="43.2" x14ac:dyDescent="0.3">
      <c r="C32" s="18" t="s">
        <v>904</v>
      </c>
      <c r="D32" s="164" t="s">
        <v>838</v>
      </c>
      <c r="E32" s="165" t="s">
        <v>903</v>
      </c>
      <c r="F32" s="164" t="s">
        <v>835</v>
      </c>
      <c r="K32" s="49">
        <f>D28</f>
        <v>0.86</v>
      </c>
      <c r="L32" s="93">
        <f>G28</f>
        <v>0.83720000000000006</v>
      </c>
      <c r="M32" t="s">
        <v>982</v>
      </c>
    </row>
    <row r="33" spans="3:17" ht="28.8" x14ac:dyDescent="0.3">
      <c r="C33" s="163" t="s">
        <v>902</v>
      </c>
      <c r="D33" s="48">
        <v>111</v>
      </c>
      <c r="E33" s="48">
        <v>167</v>
      </c>
      <c r="F33" s="48">
        <v>167</v>
      </c>
      <c r="K33" s="49">
        <f>D27</f>
        <v>0.14000000000000001</v>
      </c>
      <c r="L33" s="93">
        <f>G27</f>
        <v>0.1628</v>
      </c>
      <c r="M33" t="s">
        <v>981</v>
      </c>
    </row>
    <row r="34" spans="3:17" x14ac:dyDescent="0.3">
      <c r="C34" s="162" t="s">
        <v>833</v>
      </c>
      <c r="D34" s="48">
        <v>3</v>
      </c>
      <c r="E34" s="48">
        <v>4</v>
      </c>
      <c r="F34" s="48">
        <v>11</v>
      </c>
      <c r="K34" s="140">
        <f>K32*K27+K33*K31</f>
        <v>0.36742379527559055</v>
      </c>
      <c r="L34" s="174">
        <f>L32*L27+L33*L31</f>
        <v>0.37971864</v>
      </c>
      <c r="M34" t="s">
        <v>980</v>
      </c>
    </row>
    <row r="35" spans="3:17" x14ac:dyDescent="0.3">
      <c r="C35" s="162" t="s">
        <v>832</v>
      </c>
      <c r="D35" s="48">
        <v>9</v>
      </c>
      <c r="E35" s="48">
        <v>13</v>
      </c>
      <c r="F35" s="48">
        <v>44</v>
      </c>
      <c r="K35" s="174">
        <f>K34/L34</f>
        <v>0.9676211714957963</v>
      </c>
      <c r="M35" t="s">
        <v>1012</v>
      </c>
    </row>
    <row r="36" spans="3:17" x14ac:dyDescent="0.3">
      <c r="C36" s="162" t="s">
        <v>831</v>
      </c>
      <c r="D36" s="48">
        <v>3</v>
      </c>
      <c r="E36" s="48">
        <v>4</v>
      </c>
      <c r="F36" s="48">
        <v>11</v>
      </c>
      <c r="K36" s="174">
        <f>C11*K35+(1-C11)*1</f>
        <v>0.97409693719663704</v>
      </c>
      <c r="M36" t="s">
        <v>978</v>
      </c>
    </row>
    <row r="37" spans="3:17" x14ac:dyDescent="0.3">
      <c r="C37" s="162" t="s">
        <v>830</v>
      </c>
      <c r="D37" s="2" t="s">
        <v>214</v>
      </c>
      <c r="E37" s="2">
        <v>1.0281</v>
      </c>
      <c r="F37" s="2">
        <v>1.0032000000000001</v>
      </c>
      <c r="K37" s="174">
        <f>C12</f>
        <v>1.1000000000000001</v>
      </c>
      <c r="M37" t="s">
        <v>1011</v>
      </c>
    </row>
    <row r="38" spans="3:17" x14ac:dyDescent="0.3">
      <c r="K38" s="174">
        <f>K36/K37</f>
        <v>0.88554267017876087</v>
      </c>
      <c r="M38" t="s">
        <v>976</v>
      </c>
    </row>
    <row r="40" spans="3:17" x14ac:dyDescent="0.3">
      <c r="K40" t="s">
        <v>1010</v>
      </c>
      <c r="L40" s="23" t="s">
        <v>1009</v>
      </c>
      <c r="M40" s="23"/>
      <c r="N40" s="23"/>
      <c r="O40" s="23"/>
      <c r="P40" s="23"/>
      <c r="Q40" s="23"/>
    </row>
    <row r="41" spans="3:17" x14ac:dyDescent="0.3">
      <c r="K41" s="49">
        <f>D36/D33</f>
        <v>2.7027027027027029E-2</v>
      </c>
      <c r="L41" t="s">
        <v>838</v>
      </c>
    </row>
    <row r="42" spans="3:17" x14ac:dyDescent="0.3">
      <c r="K42" s="49">
        <f>E36/E33</f>
        <v>2.3952095808383235E-2</v>
      </c>
      <c r="L42" t="s">
        <v>1008</v>
      </c>
    </row>
    <row r="43" spans="3:17" x14ac:dyDescent="0.3">
      <c r="K43" s="49">
        <f>F36/F33</f>
        <v>6.5868263473053898E-2</v>
      </c>
      <c r="L43" t="s">
        <v>1007</v>
      </c>
    </row>
    <row r="46" spans="3:17" x14ac:dyDescent="0.3">
      <c r="K46" t="s">
        <v>975</v>
      </c>
    </row>
    <row r="47" spans="3:17" x14ac:dyDescent="0.3">
      <c r="K47" t="s">
        <v>838</v>
      </c>
      <c r="L47" t="s">
        <v>1008</v>
      </c>
      <c r="M47" t="s">
        <v>1007</v>
      </c>
    </row>
    <row r="48" spans="3:17" x14ac:dyDescent="0.3">
      <c r="K48" s="7">
        <f t="shared" ref="K48:M50" si="0">D33</f>
        <v>111</v>
      </c>
      <c r="L48" s="7">
        <f t="shared" si="0"/>
        <v>167</v>
      </c>
      <c r="M48" s="7">
        <f t="shared" si="0"/>
        <v>167</v>
      </c>
      <c r="N48" t="s">
        <v>974</v>
      </c>
    </row>
    <row r="49" spans="11:14" x14ac:dyDescent="0.3">
      <c r="K49" s="28">
        <f t="shared" si="0"/>
        <v>3</v>
      </c>
      <c r="L49" s="28">
        <f t="shared" si="0"/>
        <v>4</v>
      </c>
      <c r="M49" s="28">
        <f t="shared" si="0"/>
        <v>11</v>
      </c>
      <c r="N49" t="s">
        <v>973</v>
      </c>
    </row>
    <row r="50" spans="11:14" x14ac:dyDescent="0.3">
      <c r="K50" s="28">
        <f t="shared" si="0"/>
        <v>9</v>
      </c>
      <c r="L50" s="28">
        <f t="shared" si="0"/>
        <v>13</v>
      </c>
      <c r="M50" s="28">
        <f t="shared" si="0"/>
        <v>44</v>
      </c>
      <c r="N50" t="s">
        <v>972</v>
      </c>
    </row>
    <row r="51" spans="11:14" x14ac:dyDescent="0.3">
      <c r="K51" s="28">
        <f>K48*$K$41</f>
        <v>3</v>
      </c>
      <c r="L51" s="28">
        <f>L48*$K$42</f>
        <v>4</v>
      </c>
      <c r="M51" s="28">
        <f>M48*$K$43</f>
        <v>11.000000000000002</v>
      </c>
      <c r="N51" t="s">
        <v>1006</v>
      </c>
    </row>
    <row r="52" spans="11:14" x14ac:dyDescent="0.3">
      <c r="K52" s="28">
        <f>K48-K49-K50-K51</f>
        <v>96</v>
      </c>
      <c r="L52" s="28">
        <f>L48-L49-L50-L51</f>
        <v>146</v>
      </c>
      <c r="M52" s="28">
        <f>M48-M49-M50-M51</f>
        <v>101</v>
      </c>
      <c r="N52" t="s">
        <v>970</v>
      </c>
    </row>
    <row r="53" spans="11:14" x14ac:dyDescent="0.3">
      <c r="K53" s="28">
        <f>K52*K38</f>
        <v>85.01209633716104</v>
      </c>
      <c r="L53" s="28">
        <f>L52*E37</f>
        <v>150.1026</v>
      </c>
      <c r="M53" s="28">
        <f>M52*F37</f>
        <v>101.32320000000001</v>
      </c>
      <c r="N53" t="s">
        <v>969</v>
      </c>
    </row>
    <row r="55" spans="11:14" x14ac:dyDescent="0.3">
      <c r="K55" s="175">
        <f>(K53+K49+K50)/(1-$K$41)</f>
        <v>99.706876790971066</v>
      </c>
      <c r="L55" s="175">
        <f>(L53+L49+L50)/(1-$K$42)</f>
        <v>171.20327730061348</v>
      </c>
      <c r="M55" s="175">
        <f>(M53+M49+M50)/(1-$K$43)</f>
        <v>167.34598974358974</v>
      </c>
      <c r="N55" t="s">
        <v>1005</v>
      </c>
    </row>
    <row r="58" spans="11:14" x14ac:dyDescent="0.3">
      <c r="K58" t="s">
        <v>967</v>
      </c>
    </row>
    <row r="59" spans="11:14" x14ac:dyDescent="0.3">
      <c r="K59" s="28">
        <f>K53</f>
        <v>85.01209633716104</v>
      </c>
      <c r="L59" s="28">
        <f>L53</f>
        <v>150.1026</v>
      </c>
      <c r="M59" s="28">
        <f>M53</f>
        <v>101.32320000000001</v>
      </c>
      <c r="N59" t="s">
        <v>966</v>
      </c>
    </row>
    <row r="60" spans="11:14" x14ac:dyDescent="0.3">
      <c r="K60" s="28">
        <f t="shared" ref="K60:M61" si="1">K49</f>
        <v>3</v>
      </c>
      <c r="L60" s="28">
        <f t="shared" si="1"/>
        <v>4</v>
      </c>
      <c r="M60" s="28">
        <f t="shared" si="1"/>
        <v>11</v>
      </c>
      <c r="N60" t="s">
        <v>965</v>
      </c>
    </row>
    <row r="61" spans="11:14" x14ac:dyDescent="0.3">
      <c r="K61" s="28">
        <f t="shared" si="1"/>
        <v>9</v>
      </c>
      <c r="L61" s="28">
        <f t="shared" si="1"/>
        <v>13</v>
      </c>
      <c r="M61" s="28">
        <f t="shared" si="1"/>
        <v>44</v>
      </c>
      <c r="N61" t="s">
        <v>460</v>
      </c>
    </row>
    <row r="62" spans="11:14" x14ac:dyDescent="0.3">
      <c r="K62" s="149">
        <f>K55-SUM(K59:K61)</f>
        <v>2.6947804538100257</v>
      </c>
      <c r="L62" s="149">
        <f>L55-SUM(L59:L61)</f>
        <v>4.1006773006134836</v>
      </c>
      <c r="M62" s="149">
        <f>M55-SUM(M59:M61)</f>
        <v>11.022789743589726</v>
      </c>
      <c r="N62" t="s">
        <v>964</v>
      </c>
    </row>
  </sheetData>
  <mergeCells count="3">
    <mergeCell ref="C8:F8"/>
    <mergeCell ref="C20:I20"/>
    <mergeCell ref="K20:O20"/>
  </mergeCells>
  <pageMargins left="0.7" right="0.7" top="0.75" bottom="0.75" header="0.3" footer="0.3"/>
  <pageSetup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BF070-0611-4159-ADAE-B718C853A838}">
  <sheetPr>
    <tabColor theme="5" tint="0.39997558519241921"/>
  </sheetPr>
  <dimension ref="A1:M27"/>
  <sheetViews>
    <sheetView workbookViewId="0">
      <selection activeCell="I49" sqref="I49"/>
    </sheetView>
  </sheetViews>
  <sheetFormatPr defaultRowHeight="14.4" x14ac:dyDescent="0.3"/>
  <cols>
    <col min="10" max="10" width="20" customWidth="1"/>
    <col min="13" max="13" width="13.6640625" customWidth="1"/>
    <col min="14" max="14" width="14.109375" customWidth="1"/>
    <col min="15" max="17" width="12.44140625" customWidth="1"/>
  </cols>
  <sheetData>
    <row r="1" spans="1:8" ht="15" thickBot="1" x14ac:dyDescent="0.35">
      <c r="A1" t="s">
        <v>923</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D12" t="s">
        <v>922</v>
      </c>
    </row>
    <row r="13" spans="1:8" x14ac:dyDescent="0.3">
      <c r="C13" s="55">
        <v>100</v>
      </c>
      <c r="D13" t="s">
        <v>915</v>
      </c>
    </row>
    <row r="14" spans="1:8" x14ac:dyDescent="0.3">
      <c r="C14" s="55">
        <v>600</v>
      </c>
      <c r="D14" t="s">
        <v>914</v>
      </c>
    </row>
    <row r="16" spans="1:8" x14ac:dyDescent="0.3">
      <c r="D16" t="s">
        <v>921</v>
      </c>
    </row>
    <row r="19" spans="3:13" x14ac:dyDescent="0.3">
      <c r="C19">
        <v>3</v>
      </c>
      <c r="D19" t="s">
        <v>920</v>
      </c>
    </row>
    <row r="21" spans="3:13" ht="15" thickBot="1" x14ac:dyDescent="0.35"/>
    <row r="22" spans="3:13" ht="15" thickBot="1" x14ac:dyDescent="0.35">
      <c r="C22" s="182" t="s">
        <v>10</v>
      </c>
      <c r="D22" s="183"/>
      <c r="E22" s="183"/>
      <c r="F22" s="183"/>
      <c r="G22" s="184"/>
      <c r="I22" s="182" t="s">
        <v>9</v>
      </c>
      <c r="J22" s="183"/>
      <c r="K22" s="183"/>
      <c r="L22" s="183"/>
      <c r="M22" s="184"/>
    </row>
    <row r="24" spans="3:13" x14ac:dyDescent="0.3">
      <c r="C24" t="s">
        <v>919</v>
      </c>
    </row>
    <row r="25" spans="3:13" x14ac:dyDescent="0.3">
      <c r="C25" t="s">
        <v>918</v>
      </c>
      <c r="D25" t="s">
        <v>917</v>
      </c>
      <c r="E25" t="s">
        <v>916</v>
      </c>
    </row>
    <row r="26" spans="3:13" x14ac:dyDescent="0.3">
      <c r="C26" t="s">
        <v>915</v>
      </c>
      <c r="D26" s="31">
        <v>10000</v>
      </c>
      <c r="E26" s="31">
        <v>5000</v>
      </c>
    </row>
    <row r="27" spans="3:13" x14ac:dyDescent="0.3">
      <c r="C27" t="s">
        <v>914</v>
      </c>
      <c r="D27" s="31">
        <v>10000</v>
      </c>
      <c r="E27" s="31">
        <v>10000</v>
      </c>
    </row>
  </sheetData>
  <mergeCells count="3">
    <mergeCell ref="C10:F10"/>
    <mergeCell ref="C22:G22"/>
    <mergeCell ref="I22:M22"/>
  </mergeCells>
  <pageMargins left="0.7" right="0.7" top="0.75" bottom="0.75" header="0.3" footer="0.3"/>
  <pageSetup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58EBF-CB50-4078-9EAC-C613A305A5F3}">
  <sheetPr>
    <tabColor theme="9" tint="0.59999389629810485"/>
  </sheetPr>
  <dimension ref="A1:U74"/>
  <sheetViews>
    <sheetView workbookViewId="0">
      <selection activeCell="P48" sqref="P48"/>
    </sheetView>
  </sheetViews>
  <sheetFormatPr defaultRowHeight="14.4" x14ac:dyDescent="0.3"/>
  <cols>
    <col min="10" max="10" width="20" customWidth="1"/>
    <col min="13" max="13" width="13.6640625" customWidth="1"/>
    <col min="14" max="14" width="14.109375" customWidth="1"/>
    <col min="15" max="17" width="12.44140625" customWidth="1"/>
  </cols>
  <sheetData>
    <row r="1" spans="1:8" ht="15" thickBot="1" x14ac:dyDescent="0.35">
      <c r="A1" t="s">
        <v>923</v>
      </c>
      <c r="G1" s="25" t="s">
        <v>40</v>
      </c>
      <c r="H1" s="24"/>
    </row>
    <row r="2" spans="1:8" x14ac:dyDescent="0.3">
      <c r="G2" s="23" t="s">
        <v>39</v>
      </c>
      <c r="H2" s="23"/>
    </row>
    <row r="3" spans="1:8" ht="15" thickBot="1" x14ac:dyDescent="0.35">
      <c r="G3" s="22" t="s">
        <v>38</v>
      </c>
      <c r="H3" s="22"/>
    </row>
    <row r="4" spans="1:8" ht="15.6" thickTop="1" thickBot="1" x14ac:dyDescent="0.35">
      <c r="G4" s="21" t="s">
        <v>37</v>
      </c>
      <c r="H4" s="21"/>
    </row>
    <row r="5" spans="1:8" ht="15" thickTop="1" x14ac:dyDescent="0.3">
      <c r="G5" s="20" t="s">
        <v>36</v>
      </c>
      <c r="H5" s="19"/>
    </row>
    <row r="9" spans="1:8" ht="15" thickBot="1" x14ac:dyDescent="0.35"/>
    <row r="10" spans="1:8" ht="15" thickBot="1" x14ac:dyDescent="0.35">
      <c r="C10" s="182" t="s">
        <v>16</v>
      </c>
      <c r="D10" s="183"/>
      <c r="E10" s="183"/>
      <c r="F10" s="184"/>
    </row>
    <row r="12" spans="1:8" x14ac:dyDescent="0.3">
      <c r="D12" t="s">
        <v>922</v>
      </c>
    </row>
    <row r="13" spans="1:8" x14ac:dyDescent="0.3">
      <c r="C13" s="55">
        <v>100</v>
      </c>
      <c r="D13" t="s">
        <v>915</v>
      </c>
    </row>
    <row r="14" spans="1:8" x14ac:dyDescent="0.3">
      <c r="C14" s="55">
        <v>600</v>
      </c>
      <c r="D14" t="s">
        <v>914</v>
      </c>
    </row>
    <row r="16" spans="1:8" x14ac:dyDescent="0.3">
      <c r="D16" t="s">
        <v>921</v>
      </c>
    </row>
    <row r="19" spans="3:16" x14ac:dyDescent="0.3">
      <c r="C19">
        <v>3</v>
      </c>
      <c r="D19" t="s">
        <v>920</v>
      </c>
    </row>
    <row r="21" spans="3:16" ht="15" thickBot="1" x14ac:dyDescent="0.35"/>
    <row r="22" spans="3:16" ht="15" thickBot="1" x14ac:dyDescent="0.35">
      <c r="C22" s="182" t="s">
        <v>10</v>
      </c>
      <c r="D22" s="183"/>
      <c r="E22" s="183"/>
      <c r="F22" s="183"/>
      <c r="G22" s="184"/>
      <c r="I22" s="182" t="s">
        <v>9</v>
      </c>
      <c r="J22" s="183"/>
      <c r="K22" s="183"/>
      <c r="L22" s="183"/>
      <c r="M22" s="184"/>
    </row>
    <row r="24" spans="3:16" x14ac:dyDescent="0.3">
      <c r="C24" t="s">
        <v>919</v>
      </c>
    </row>
    <row r="25" spans="3:16" x14ac:dyDescent="0.3">
      <c r="C25" t="s">
        <v>918</v>
      </c>
      <c r="D25" t="s">
        <v>917</v>
      </c>
      <c r="E25" t="s">
        <v>916</v>
      </c>
      <c r="J25" s="51" t="s">
        <v>1037</v>
      </c>
    </row>
    <row r="26" spans="3:16" x14ac:dyDescent="0.3">
      <c r="C26" t="s">
        <v>915</v>
      </c>
      <c r="D26" s="31">
        <v>10000</v>
      </c>
      <c r="E26" s="31">
        <v>5000</v>
      </c>
      <c r="J26" s="51"/>
    </row>
    <row r="27" spans="3:16" x14ac:dyDescent="0.3">
      <c r="C27" t="s">
        <v>914</v>
      </c>
      <c r="D27" s="31">
        <v>10000</v>
      </c>
      <c r="E27" s="31">
        <v>10000</v>
      </c>
    </row>
    <row r="28" spans="3:16" x14ac:dyDescent="0.3">
      <c r="I28" s="51" t="s">
        <v>1036</v>
      </c>
    </row>
    <row r="29" spans="3:16" x14ac:dyDescent="0.3">
      <c r="K29" s="193" t="s">
        <v>1031</v>
      </c>
      <c r="L29" s="195"/>
      <c r="O29" s="188" t="s">
        <v>919</v>
      </c>
      <c r="P29" s="188"/>
    </row>
    <row r="30" spans="3:16" x14ac:dyDescent="0.3">
      <c r="K30" s="1" t="s">
        <v>917</v>
      </c>
      <c r="L30" s="1" t="s">
        <v>916</v>
      </c>
      <c r="M30" s="32"/>
      <c r="N30" s="32"/>
      <c r="O30" s="1" t="s">
        <v>917</v>
      </c>
      <c r="P30" s="1" t="s">
        <v>916</v>
      </c>
    </row>
    <row r="31" spans="3:16" x14ac:dyDescent="0.3">
      <c r="J31" t="s">
        <v>915</v>
      </c>
      <c r="K31" s="180">
        <f>$C$13</f>
        <v>100</v>
      </c>
      <c r="L31" s="180">
        <f>$C$13</f>
        <v>100</v>
      </c>
      <c r="N31" t="s">
        <v>915</v>
      </c>
      <c r="O31" s="181">
        <f>$D$26</f>
        <v>10000</v>
      </c>
      <c r="P31" s="181">
        <f>$E$26</f>
        <v>5000</v>
      </c>
    </row>
    <row r="32" spans="3:16" x14ac:dyDescent="0.3">
      <c r="J32" t="s">
        <v>914</v>
      </c>
      <c r="K32" s="180">
        <f>$C$14</f>
        <v>600</v>
      </c>
      <c r="L32" s="180">
        <f>$C$14</f>
        <v>600</v>
      </c>
      <c r="N32" t="s">
        <v>914</v>
      </c>
      <c r="O32" s="181">
        <f>$D$27</f>
        <v>10000</v>
      </c>
      <c r="P32" s="181">
        <f>$E$27</f>
        <v>10000</v>
      </c>
    </row>
    <row r="33" spans="10:21" x14ac:dyDescent="0.3">
      <c r="J33" t="s">
        <v>934</v>
      </c>
      <c r="O33" s="5">
        <f>K31*O31+K32*O32</f>
        <v>7000000</v>
      </c>
      <c r="P33" s="5">
        <f>L31*P31+L32*P32</f>
        <v>6500000</v>
      </c>
      <c r="Q33" s="145">
        <f>+O33+P33</f>
        <v>13500000</v>
      </c>
    </row>
    <row r="34" spans="10:21" x14ac:dyDescent="0.3">
      <c r="J34" t="s">
        <v>919</v>
      </c>
      <c r="Q34" s="5">
        <f>SUM(O31:P32)</f>
        <v>35000</v>
      </c>
    </row>
    <row r="35" spans="10:21" x14ac:dyDescent="0.3">
      <c r="J35" t="s">
        <v>1035</v>
      </c>
      <c r="Q35" s="138">
        <f>Q33/Q34</f>
        <v>385.71428571428572</v>
      </c>
    </row>
    <row r="37" spans="10:21" x14ac:dyDescent="0.3">
      <c r="K37" s="193" t="s">
        <v>1023</v>
      </c>
      <c r="L37" s="195"/>
      <c r="O37" s="188" t="s">
        <v>919</v>
      </c>
      <c r="P37" s="188"/>
    </row>
    <row r="38" spans="10:21" x14ac:dyDescent="0.3">
      <c r="K38" s="1" t="s">
        <v>917</v>
      </c>
      <c r="L38" s="1" t="s">
        <v>916</v>
      </c>
      <c r="O38" s="1" t="s">
        <v>917</v>
      </c>
      <c r="P38" s="1" t="s">
        <v>916</v>
      </c>
    </row>
    <row r="39" spans="10:21" x14ac:dyDescent="0.3">
      <c r="J39" t="s">
        <v>915</v>
      </c>
      <c r="K39" s="180">
        <f>Q35</f>
        <v>385.71428571428572</v>
      </c>
      <c r="L39" s="180">
        <f>K39</f>
        <v>385.71428571428572</v>
      </c>
      <c r="N39" t="s">
        <v>915</v>
      </c>
      <c r="O39" s="64">
        <f>O31</f>
        <v>10000</v>
      </c>
      <c r="P39" s="64">
        <f>P31</f>
        <v>5000</v>
      </c>
    </row>
    <row r="40" spans="10:21" x14ac:dyDescent="0.3">
      <c r="J40" t="s">
        <v>914</v>
      </c>
      <c r="K40" s="180">
        <f>K39</f>
        <v>385.71428571428572</v>
      </c>
      <c r="L40" s="180">
        <f>L39</f>
        <v>385.71428571428572</v>
      </c>
      <c r="N40" t="s">
        <v>914</v>
      </c>
      <c r="O40" s="64">
        <f>O32</f>
        <v>10000</v>
      </c>
      <c r="P40" s="64">
        <f>P32</f>
        <v>10000</v>
      </c>
    </row>
    <row r="41" spans="10:21" x14ac:dyDescent="0.3">
      <c r="J41" t="s">
        <v>1023</v>
      </c>
      <c r="O41" s="5">
        <f>K39*O39+K40*O40</f>
        <v>7714285.7142857146</v>
      </c>
      <c r="P41" s="5">
        <f>L39*P39+L40*P40</f>
        <v>5785714.2857142854</v>
      </c>
      <c r="Q41" s="145">
        <f>+O41+P41</f>
        <v>13500000</v>
      </c>
    </row>
    <row r="42" spans="10:21" x14ac:dyDescent="0.3">
      <c r="O42" s="145"/>
      <c r="P42" s="145"/>
    </row>
    <row r="43" spans="10:21" x14ac:dyDescent="0.3">
      <c r="J43" t="s">
        <v>1022</v>
      </c>
      <c r="O43" s="89">
        <f>O33-O41</f>
        <v>-714285.71428571455</v>
      </c>
      <c r="P43" s="89">
        <f>P33-P41</f>
        <v>714285.71428571455</v>
      </c>
    </row>
    <row r="44" spans="10:21" x14ac:dyDescent="0.3">
      <c r="O44" s="145"/>
      <c r="P44" s="145"/>
      <c r="R44" s="19" t="s">
        <v>1034</v>
      </c>
      <c r="S44" s="19"/>
      <c r="T44" s="19"/>
      <c r="U44" s="19"/>
    </row>
    <row r="45" spans="10:21" x14ac:dyDescent="0.3">
      <c r="O45" s="145"/>
      <c r="P45" s="145"/>
      <c r="R45" s="19" t="s">
        <v>1033</v>
      </c>
      <c r="S45" s="19"/>
      <c r="T45" s="19"/>
    </row>
    <row r="46" spans="10:21" x14ac:dyDescent="0.3">
      <c r="J46" t="s">
        <v>1019</v>
      </c>
      <c r="M46" t="s">
        <v>917</v>
      </c>
      <c r="N46" t="s">
        <v>916</v>
      </c>
    </row>
    <row r="47" spans="10:21" x14ac:dyDescent="0.3">
      <c r="K47" t="s">
        <v>1018</v>
      </c>
      <c r="M47" s="89">
        <f>O43*12</f>
        <v>-8571428.5714285746</v>
      </c>
      <c r="N47" s="89">
        <f>P43*12</f>
        <v>8571428.5714285746</v>
      </c>
      <c r="P47" t="s">
        <v>1017</v>
      </c>
    </row>
    <row r="48" spans="10:21" x14ac:dyDescent="0.3">
      <c r="K48" t="s">
        <v>1016</v>
      </c>
      <c r="M48" s="19">
        <f>O43/(SUM(O31:O32))</f>
        <v>-35.71428571428573</v>
      </c>
      <c r="N48" s="19">
        <f>P43/(SUM(P31:P32))</f>
        <v>47.619047619047635</v>
      </c>
    </row>
    <row r="49" spans="9:17" x14ac:dyDescent="0.3">
      <c r="I49" s="51" t="s">
        <v>1032</v>
      </c>
    </row>
    <row r="51" spans="9:17" x14ac:dyDescent="0.3">
      <c r="K51" s="2" t="s">
        <v>1031</v>
      </c>
      <c r="L51" s="2"/>
      <c r="O51" s="188" t="s">
        <v>919</v>
      </c>
      <c r="P51" s="188"/>
    </row>
    <row r="52" spans="9:17" x14ac:dyDescent="0.3">
      <c r="K52" s="2" t="s">
        <v>917</v>
      </c>
      <c r="L52" s="2" t="s">
        <v>916</v>
      </c>
      <c r="O52" s="1" t="s">
        <v>917</v>
      </c>
      <c r="P52" s="1" t="s">
        <v>916</v>
      </c>
    </row>
    <row r="53" spans="9:17" x14ac:dyDescent="0.3">
      <c r="J53" t="s">
        <v>915</v>
      </c>
      <c r="K53" s="180">
        <f>$C$13</f>
        <v>100</v>
      </c>
      <c r="L53" s="180">
        <f>$C$13</f>
        <v>100</v>
      </c>
      <c r="N53" t="s">
        <v>915</v>
      </c>
      <c r="O53" s="181">
        <f>$D$26</f>
        <v>10000</v>
      </c>
      <c r="P53" s="181">
        <f>$E$26</f>
        <v>5000</v>
      </c>
    </row>
    <row r="54" spans="9:17" x14ac:dyDescent="0.3">
      <c r="J54" t="s">
        <v>914</v>
      </c>
      <c r="K54" s="180">
        <f>$C$14</f>
        <v>600</v>
      </c>
      <c r="L54" s="180">
        <f>$C$14</f>
        <v>600</v>
      </c>
      <c r="N54" t="s">
        <v>914</v>
      </c>
      <c r="O54" s="181">
        <f>$D$27</f>
        <v>10000</v>
      </c>
      <c r="P54" s="181">
        <f>$E$27</f>
        <v>10000</v>
      </c>
    </row>
    <row r="55" spans="9:17" x14ac:dyDescent="0.3">
      <c r="J55" t="s">
        <v>934</v>
      </c>
      <c r="O55" s="5">
        <f>K53*O53+K54*O54</f>
        <v>7000000</v>
      </c>
      <c r="P55" s="5">
        <f>L53*P53+L54*P54</f>
        <v>6500000</v>
      </c>
      <c r="Q55" s="145">
        <f>+O55+P55</f>
        <v>13500000</v>
      </c>
    </row>
    <row r="56" spans="9:17" x14ac:dyDescent="0.3">
      <c r="J56" t="s">
        <v>1030</v>
      </c>
      <c r="O56" s="5"/>
      <c r="P56" s="5"/>
      <c r="Q56" s="145">
        <f>SUM(O53:P53)</f>
        <v>15000</v>
      </c>
    </row>
    <row r="57" spans="9:17" x14ac:dyDescent="0.3">
      <c r="J57" t="s">
        <v>1029</v>
      </c>
      <c r="O57" s="5"/>
      <c r="P57" s="5"/>
      <c r="Q57" s="145">
        <f>SUM(O54:P54)</f>
        <v>20000</v>
      </c>
    </row>
    <row r="58" spans="9:17" x14ac:dyDescent="0.3">
      <c r="J58" t="s">
        <v>1028</v>
      </c>
      <c r="L58" s="173" t="s">
        <v>1027</v>
      </c>
      <c r="O58" s="5"/>
      <c r="P58" s="5"/>
      <c r="Q58" s="145">
        <f>Q56+3*Q57</f>
        <v>75000</v>
      </c>
    </row>
    <row r="59" spans="9:17" x14ac:dyDescent="0.3">
      <c r="J59" t="s">
        <v>1026</v>
      </c>
      <c r="L59" s="173" t="s">
        <v>1025</v>
      </c>
      <c r="O59" s="5"/>
      <c r="P59" s="5" t="s">
        <v>1024</v>
      </c>
      <c r="Q59" s="145">
        <f>Q55/Q58</f>
        <v>180</v>
      </c>
    </row>
    <row r="60" spans="9:17" x14ac:dyDescent="0.3">
      <c r="O60" s="5"/>
      <c r="P60" s="5"/>
      <c r="Q60" s="145"/>
    </row>
    <row r="61" spans="9:17" x14ac:dyDescent="0.3">
      <c r="O61" s="5"/>
      <c r="P61" s="5"/>
      <c r="Q61" s="145"/>
    </row>
    <row r="62" spans="9:17" x14ac:dyDescent="0.3">
      <c r="O62" s="5"/>
      <c r="P62" s="5"/>
    </row>
    <row r="63" spans="9:17" x14ac:dyDescent="0.3">
      <c r="K63" s="2" t="s">
        <v>1023</v>
      </c>
      <c r="L63" s="2"/>
      <c r="O63" s="188" t="s">
        <v>919</v>
      </c>
      <c r="P63" s="188"/>
    </row>
    <row r="64" spans="9:17" x14ac:dyDescent="0.3">
      <c r="K64" s="2" t="s">
        <v>917</v>
      </c>
      <c r="L64" s="2" t="s">
        <v>916</v>
      </c>
      <c r="O64" s="1" t="s">
        <v>917</v>
      </c>
      <c r="P64" s="1" t="s">
        <v>916</v>
      </c>
    </row>
    <row r="65" spans="10:21" x14ac:dyDescent="0.3">
      <c r="K65" s="180">
        <f>$Q$59</f>
        <v>180</v>
      </c>
      <c r="L65" s="180">
        <f>$Q$59</f>
        <v>180</v>
      </c>
      <c r="O65" s="64">
        <f>O53</f>
        <v>10000</v>
      </c>
      <c r="P65" s="64">
        <f>P53</f>
        <v>5000</v>
      </c>
    </row>
    <row r="66" spans="10:21" x14ac:dyDescent="0.3">
      <c r="K66" s="180">
        <f>K65*$C$19</f>
        <v>540</v>
      </c>
      <c r="L66" s="180">
        <f>L65*$C$19</f>
        <v>540</v>
      </c>
      <c r="O66" s="64">
        <f>O54</f>
        <v>10000</v>
      </c>
      <c r="P66" s="64">
        <f>P54</f>
        <v>10000</v>
      </c>
    </row>
    <row r="67" spans="10:21" x14ac:dyDescent="0.3">
      <c r="O67" s="5">
        <f>K65*O65+K66*O66</f>
        <v>7200000</v>
      </c>
      <c r="P67" s="5">
        <f>L65*P65+L66*P66</f>
        <v>6300000</v>
      </c>
      <c r="Q67" s="145">
        <f>+O67+P67</f>
        <v>13500000</v>
      </c>
    </row>
    <row r="68" spans="10:21" x14ac:dyDescent="0.3">
      <c r="O68" s="145"/>
      <c r="P68" s="145"/>
    </row>
    <row r="69" spans="10:21" x14ac:dyDescent="0.3">
      <c r="J69" t="s">
        <v>1022</v>
      </c>
      <c r="O69" s="89">
        <f>O55-O67</f>
        <v>-200000</v>
      </c>
      <c r="P69" s="89">
        <f>P55-P67</f>
        <v>200000</v>
      </c>
    </row>
    <row r="70" spans="10:21" x14ac:dyDescent="0.3">
      <c r="R70" s="19" t="s">
        <v>1021</v>
      </c>
      <c r="S70" s="19"/>
      <c r="T70" s="19"/>
      <c r="U70" s="19"/>
    </row>
    <row r="71" spans="10:21" x14ac:dyDescent="0.3">
      <c r="R71" s="19" t="s">
        <v>1020</v>
      </c>
      <c r="S71" s="19"/>
      <c r="T71" s="19"/>
    </row>
    <row r="72" spans="10:21" x14ac:dyDescent="0.3">
      <c r="J72" t="s">
        <v>1019</v>
      </c>
      <c r="M72" t="s">
        <v>917</v>
      </c>
      <c r="N72" t="s">
        <v>916</v>
      </c>
    </row>
    <row r="73" spans="10:21" x14ac:dyDescent="0.3">
      <c r="K73" t="s">
        <v>1018</v>
      </c>
      <c r="M73" s="89">
        <f>O69*12</f>
        <v>-2400000</v>
      </c>
      <c r="N73" s="89">
        <f>P69*12</f>
        <v>2400000</v>
      </c>
      <c r="P73" t="s">
        <v>1017</v>
      </c>
    </row>
    <row r="74" spans="10:21" x14ac:dyDescent="0.3">
      <c r="K74" t="s">
        <v>1016</v>
      </c>
      <c r="M74" s="19">
        <f>O69/(SUM(O53:O54))</f>
        <v>-10</v>
      </c>
      <c r="N74" s="19">
        <f>P69/(SUM(P53:P54))</f>
        <v>13.333333333333334</v>
      </c>
    </row>
  </sheetData>
  <mergeCells count="9">
    <mergeCell ref="O51:P51"/>
    <mergeCell ref="O63:P63"/>
    <mergeCell ref="C10:F10"/>
    <mergeCell ref="C22:G22"/>
    <mergeCell ref="I22:M22"/>
    <mergeCell ref="K29:L29"/>
    <mergeCell ref="O29:P29"/>
    <mergeCell ref="K37:L37"/>
    <mergeCell ref="O37:P3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A660B-A2E8-4C8D-8782-8E18BD996F99}">
  <sheetPr>
    <tabColor theme="9" tint="0.59999389629810485"/>
  </sheetPr>
  <dimension ref="A1:AI52"/>
  <sheetViews>
    <sheetView workbookViewId="0">
      <selection activeCell="A3" sqref="A3"/>
    </sheetView>
  </sheetViews>
  <sheetFormatPr defaultRowHeight="14.4" x14ac:dyDescent="0.3"/>
  <cols>
    <col min="12" max="21" width="10.44140625" customWidth="1"/>
    <col min="22" max="22" width="10.109375" bestFit="1" customWidth="1"/>
    <col min="23" max="23" width="14.6640625" bestFit="1" customWidth="1"/>
    <col min="24" max="24" width="13.109375" customWidth="1"/>
    <col min="25" max="25" width="13.6640625" bestFit="1" customWidth="1"/>
  </cols>
  <sheetData>
    <row r="1" spans="1:9" ht="15" thickBot="1" x14ac:dyDescent="0.35">
      <c r="A1" t="s">
        <v>92</v>
      </c>
      <c r="H1" s="25" t="s">
        <v>40</v>
      </c>
      <c r="I1" s="24"/>
    </row>
    <row r="2" spans="1:9" x14ac:dyDescent="0.3">
      <c r="H2" s="23" t="s">
        <v>39</v>
      </c>
      <c r="I2" s="23"/>
    </row>
    <row r="3" spans="1:9" ht="15" thickBot="1" x14ac:dyDescent="0.35">
      <c r="H3" s="22" t="s">
        <v>38</v>
      </c>
      <c r="I3" s="22"/>
    </row>
    <row r="4" spans="1:9" ht="15.6" thickTop="1" thickBot="1" x14ac:dyDescent="0.35">
      <c r="H4" s="21" t="s">
        <v>37</v>
      </c>
      <c r="I4" s="21"/>
    </row>
    <row r="5" spans="1:9" ht="15" thickTop="1" x14ac:dyDescent="0.3">
      <c r="H5" s="20" t="s">
        <v>36</v>
      </c>
      <c r="I5" s="19"/>
    </row>
    <row r="9" spans="1:9" ht="15" thickBot="1" x14ac:dyDescent="0.35"/>
    <row r="10" spans="1:9" ht="15" thickBot="1" x14ac:dyDescent="0.35">
      <c r="C10" s="182" t="s">
        <v>16</v>
      </c>
      <c r="D10" s="183"/>
      <c r="E10" s="183"/>
      <c r="F10" s="183"/>
      <c r="G10" s="184"/>
    </row>
    <row r="12" spans="1:9" x14ac:dyDescent="0.3">
      <c r="A12" t="s">
        <v>34</v>
      </c>
      <c r="D12" t="s">
        <v>91</v>
      </c>
    </row>
    <row r="13" spans="1:9" x14ac:dyDescent="0.3">
      <c r="D13" t="s">
        <v>90</v>
      </c>
    </row>
    <row r="14" spans="1:9" x14ac:dyDescent="0.3">
      <c r="D14" t="s">
        <v>89</v>
      </c>
    </row>
    <row r="15" spans="1:9" x14ac:dyDescent="0.3">
      <c r="C15" s="7">
        <v>15</v>
      </c>
      <c r="D15" t="s">
        <v>88</v>
      </c>
    </row>
    <row r="16" spans="1:9" x14ac:dyDescent="0.3">
      <c r="C16" s="3">
        <v>0.01</v>
      </c>
      <c r="D16" t="s">
        <v>87</v>
      </c>
    </row>
    <row r="17" spans="1:31" x14ac:dyDescent="0.3">
      <c r="D17" t="s">
        <v>86</v>
      </c>
    </row>
    <row r="19" spans="1:31" x14ac:dyDescent="0.3">
      <c r="A19" t="s">
        <v>17</v>
      </c>
      <c r="D19" t="s">
        <v>85</v>
      </c>
    </row>
    <row r="20" spans="1:31" x14ac:dyDescent="0.3">
      <c r="D20" t="s">
        <v>84</v>
      </c>
    </row>
    <row r="21" spans="1:31" x14ac:dyDescent="0.3">
      <c r="D21" t="s">
        <v>83</v>
      </c>
    </row>
    <row r="22" spans="1:31" x14ac:dyDescent="0.3">
      <c r="D22" t="s">
        <v>82</v>
      </c>
    </row>
    <row r="23" spans="1:31" x14ac:dyDescent="0.3">
      <c r="C23" s="3">
        <v>0.03</v>
      </c>
      <c r="D23" t="s">
        <v>81</v>
      </c>
    </row>
    <row r="25" spans="1:31" ht="15" thickBot="1" x14ac:dyDescent="0.35"/>
    <row r="26" spans="1:31" ht="15" thickBot="1" x14ac:dyDescent="0.35">
      <c r="C26" s="182" t="s">
        <v>10</v>
      </c>
      <c r="D26" s="183"/>
      <c r="E26" s="183"/>
      <c r="F26" s="183"/>
      <c r="G26" s="183"/>
      <c r="H26" s="184"/>
      <c r="J26" s="182" t="s">
        <v>9</v>
      </c>
      <c r="K26" s="183"/>
      <c r="L26" s="183"/>
      <c r="M26" s="183"/>
      <c r="N26" s="184"/>
    </row>
    <row r="27" spans="1:31" x14ac:dyDescent="0.3">
      <c r="A27" t="s">
        <v>34</v>
      </c>
      <c r="C27" s="33"/>
      <c r="D27" s="33"/>
      <c r="E27" s="33"/>
      <c r="F27" s="33"/>
      <c r="G27" s="33"/>
      <c r="H27" s="33"/>
      <c r="J27" s="33"/>
      <c r="K27" s="33"/>
      <c r="L27" s="33"/>
      <c r="M27" s="33"/>
      <c r="N27" s="33"/>
    </row>
    <row r="28" spans="1:31" x14ac:dyDescent="0.3">
      <c r="C28" t="s">
        <v>80</v>
      </c>
    </row>
    <row r="29" spans="1:31" ht="72" x14ac:dyDescent="0.3">
      <c r="C29" t="s">
        <v>73</v>
      </c>
      <c r="D29" s="29" t="s">
        <v>72</v>
      </c>
      <c r="E29" s="29" t="s">
        <v>71</v>
      </c>
      <c r="K29" s="53" t="s">
        <v>73</v>
      </c>
      <c r="L29" s="53" t="s">
        <v>77</v>
      </c>
      <c r="M29" s="53" t="s">
        <v>76</v>
      </c>
      <c r="N29" s="53" t="s">
        <v>381</v>
      </c>
      <c r="O29" s="53" t="s">
        <v>395</v>
      </c>
      <c r="P29" s="53" t="s">
        <v>394</v>
      </c>
      <c r="Q29" s="53" t="s">
        <v>382</v>
      </c>
      <c r="R29" s="53" t="s">
        <v>393</v>
      </c>
      <c r="S29" s="53" t="s">
        <v>392</v>
      </c>
      <c r="T29" s="53" t="s">
        <v>391</v>
      </c>
      <c r="U29" s="53" t="s">
        <v>390</v>
      </c>
    </row>
    <row r="30" spans="1:31" x14ac:dyDescent="0.3">
      <c r="C30" t="s">
        <v>70</v>
      </c>
      <c r="D30" s="7">
        <v>10</v>
      </c>
      <c r="E30" s="7">
        <v>15</v>
      </c>
      <c r="F30" s="7"/>
      <c r="K30" t="s">
        <v>70</v>
      </c>
      <c r="L30" s="31">
        <f t="shared" ref="L30:M32" si="0">D38</f>
        <v>30000</v>
      </c>
      <c r="M30" s="31">
        <f t="shared" si="0"/>
        <v>4800</v>
      </c>
      <c r="N30" s="30">
        <f>H38</f>
        <v>0.55000000000000004</v>
      </c>
      <c r="O30" s="7">
        <f t="shared" ref="O30:P32" si="1">D30</f>
        <v>10</v>
      </c>
      <c r="P30" s="7">
        <f t="shared" si="1"/>
        <v>15</v>
      </c>
      <c r="Q30" s="31">
        <f>M30*(1+$C$16)^2</f>
        <v>4896.4800000000005</v>
      </c>
      <c r="R30" s="31">
        <f>Q30*N30</f>
        <v>2693.0640000000003</v>
      </c>
      <c r="S30" s="31">
        <f>Q30-R30</f>
        <v>2203.4160000000002</v>
      </c>
      <c r="T30" s="28">
        <f>($C$15*Q30)/(1000*12)</f>
        <v>6.1206000000000014</v>
      </c>
      <c r="U30" s="28">
        <f>(R30*O30+P30*S30)/(1000*12)</f>
        <v>4.9984900000000003</v>
      </c>
      <c r="V30" s="23" t="s">
        <v>389</v>
      </c>
      <c r="W30" s="23"/>
      <c r="X30" s="23"/>
      <c r="Y30" s="23"/>
      <c r="Z30" s="23"/>
      <c r="AA30" s="23"/>
      <c r="AB30" s="23"/>
      <c r="AC30" s="23"/>
      <c r="AD30" s="23"/>
      <c r="AE30" s="23"/>
    </row>
    <row r="31" spans="1:31" x14ac:dyDescent="0.3">
      <c r="C31" t="s">
        <v>69</v>
      </c>
      <c r="D31" s="7">
        <v>0</v>
      </c>
      <c r="E31" t="s">
        <v>79</v>
      </c>
      <c r="K31" t="s">
        <v>69</v>
      </c>
      <c r="L31" s="31">
        <f t="shared" si="0"/>
        <v>20000</v>
      </c>
      <c r="M31" s="31">
        <f t="shared" si="0"/>
        <v>5500</v>
      </c>
      <c r="N31" s="30">
        <f>H39</f>
        <v>1</v>
      </c>
      <c r="O31" s="7">
        <f t="shared" si="1"/>
        <v>0</v>
      </c>
      <c r="P31" s="7" t="str">
        <f t="shared" si="1"/>
        <v>N/A</v>
      </c>
      <c r="Q31" s="31">
        <f>M31*(1+$C$16)^2</f>
        <v>5610.55</v>
      </c>
      <c r="R31" s="31">
        <f>Q31*N31</f>
        <v>5610.55</v>
      </c>
      <c r="S31" s="31">
        <f>Q31-R31</f>
        <v>0</v>
      </c>
      <c r="T31" s="28">
        <f>($C$15*Q31)/(1000*12)</f>
        <v>7.0131874999999999</v>
      </c>
      <c r="U31" s="28">
        <f>(R31*O31)/(1000*12)</f>
        <v>0</v>
      </c>
    </row>
    <row r="32" spans="1:31" x14ac:dyDescent="0.3">
      <c r="C32" t="s">
        <v>68</v>
      </c>
      <c r="D32" s="7">
        <v>15</v>
      </c>
      <c r="E32" s="7">
        <v>15</v>
      </c>
      <c r="F32" s="7"/>
      <c r="K32" s="6" t="s">
        <v>68</v>
      </c>
      <c r="L32" s="80">
        <f t="shared" si="0"/>
        <v>10000</v>
      </c>
      <c r="M32" s="80">
        <f t="shared" si="0"/>
        <v>5000</v>
      </c>
      <c r="N32" s="79">
        <f>H40</f>
        <v>0.5</v>
      </c>
      <c r="O32" s="68">
        <f t="shared" si="1"/>
        <v>15</v>
      </c>
      <c r="P32" s="68">
        <f t="shared" si="1"/>
        <v>15</v>
      </c>
      <c r="Q32" s="80">
        <f>M32*(1+$C$16)^2</f>
        <v>5100.5</v>
      </c>
      <c r="R32" s="80">
        <f>Q32*N32</f>
        <v>2550.25</v>
      </c>
      <c r="S32" s="80">
        <f>Q32-R32</f>
        <v>2550.25</v>
      </c>
      <c r="T32" s="82">
        <f>($C$15*Q32)/(1000*12)</f>
        <v>6.3756250000000003</v>
      </c>
      <c r="U32" s="82">
        <f>(R32*O32+P32*S32)/(1000*12)</f>
        <v>6.3756250000000003</v>
      </c>
    </row>
    <row r="33" spans="1:25" x14ac:dyDescent="0.3">
      <c r="L33" s="31"/>
      <c r="M33" s="31"/>
      <c r="N33" s="30"/>
      <c r="O33" s="7"/>
      <c r="P33" s="7"/>
      <c r="S33" t="s">
        <v>380</v>
      </c>
      <c r="T33" s="28">
        <f>SUMPRODUCT(L30:L32,T30:T32)/SUM(L30:L32)</f>
        <v>6.460633333333333</v>
      </c>
      <c r="U33" s="28">
        <f>SUMPRODUCT(L30:L32,U30:U32)/SUM(L30:L32)</f>
        <v>3.5618491666666667</v>
      </c>
    </row>
    <row r="35" spans="1:25" x14ac:dyDescent="0.3">
      <c r="U35" s="19">
        <f>T33-U33</f>
        <v>2.8987841666666663</v>
      </c>
    </row>
    <row r="36" spans="1:25" x14ac:dyDescent="0.3">
      <c r="G36" s="185" t="s">
        <v>78</v>
      </c>
      <c r="H36" s="185"/>
    </row>
    <row r="37" spans="1:25" x14ac:dyDescent="0.3">
      <c r="C37" t="s">
        <v>73</v>
      </c>
      <c r="D37" t="s">
        <v>77</v>
      </c>
      <c r="E37" t="s">
        <v>76</v>
      </c>
      <c r="F37" t="s">
        <v>75</v>
      </c>
      <c r="G37">
        <v>2019</v>
      </c>
      <c r="H37">
        <v>2021</v>
      </c>
    </row>
    <row r="38" spans="1:25" x14ac:dyDescent="0.3">
      <c r="C38" t="s">
        <v>70</v>
      </c>
      <c r="D38" s="31">
        <v>30000</v>
      </c>
      <c r="E38" s="31">
        <v>4800</v>
      </c>
      <c r="F38" s="30">
        <v>0.01</v>
      </c>
      <c r="G38" s="30">
        <v>0.45</v>
      </c>
      <c r="H38" s="30">
        <v>0.55000000000000004</v>
      </c>
    </row>
    <row r="39" spans="1:25" x14ac:dyDescent="0.3">
      <c r="C39" t="s">
        <v>69</v>
      </c>
      <c r="D39" s="31">
        <v>20000</v>
      </c>
      <c r="E39" s="31">
        <v>5500</v>
      </c>
      <c r="F39" s="30">
        <v>0.01</v>
      </c>
      <c r="G39" s="30">
        <v>1</v>
      </c>
      <c r="H39" s="30">
        <v>1</v>
      </c>
    </row>
    <row r="40" spans="1:25" x14ac:dyDescent="0.3">
      <c r="C40" t="s">
        <v>68</v>
      </c>
      <c r="D40" s="31">
        <v>10000</v>
      </c>
      <c r="E40" s="31">
        <v>5000</v>
      </c>
      <c r="F40" s="30">
        <v>0</v>
      </c>
      <c r="G40" s="30">
        <v>0.5</v>
      </c>
      <c r="H40" s="30">
        <v>0.5</v>
      </c>
    </row>
    <row r="42" spans="1:25" x14ac:dyDescent="0.3">
      <c r="A42" t="s">
        <v>17</v>
      </c>
    </row>
    <row r="43" spans="1:25" ht="57.6" x14ac:dyDescent="0.3">
      <c r="C43" t="s">
        <v>74</v>
      </c>
      <c r="O43" s="186" t="s">
        <v>388</v>
      </c>
      <c r="P43" s="186"/>
      <c r="Q43" s="186" t="s">
        <v>387</v>
      </c>
      <c r="R43" s="186"/>
      <c r="S43" s="186" t="s">
        <v>386</v>
      </c>
      <c r="T43" s="186"/>
      <c r="U43" s="186" t="s">
        <v>385</v>
      </c>
      <c r="V43" s="186"/>
      <c r="W43" s="186" t="s">
        <v>384</v>
      </c>
      <c r="X43" s="186"/>
      <c r="Y43" s="53" t="s">
        <v>383</v>
      </c>
    </row>
    <row r="44" spans="1:25" ht="72" x14ac:dyDescent="0.3">
      <c r="C44" s="29" t="s">
        <v>73</v>
      </c>
      <c r="D44" s="29" t="s">
        <v>72</v>
      </c>
      <c r="E44" s="29" t="s">
        <v>71</v>
      </c>
      <c r="K44" s="53" t="s">
        <v>73</v>
      </c>
      <c r="L44" s="53" t="s">
        <v>77</v>
      </c>
      <c r="M44" s="53" t="s">
        <v>382</v>
      </c>
      <c r="N44" s="53" t="s">
        <v>381</v>
      </c>
      <c r="O44" s="53" t="s">
        <v>72</v>
      </c>
      <c r="P44" s="53" t="s">
        <v>71</v>
      </c>
      <c r="Q44" s="53" t="s">
        <v>72</v>
      </c>
      <c r="R44" s="53" t="s">
        <v>71</v>
      </c>
      <c r="S44" s="53" t="s">
        <v>72</v>
      </c>
      <c r="T44" s="53" t="s">
        <v>71</v>
      </c>
      <c r="U44" s="53" t="s">
        <v>72</v>
      </c>
      <c r="V44" s="53" t="s">
        <v>71</v>
      </c>
      <c r="W44" s="53" t="s">
        <v>72</v>
      </c>
      <c r="X44" s="53" t="s">
        <v>71</v>
      </c>
      <c r="Y44" s="53" t="s">
        <v>71</v>
      </c>
    </row>
    <row r="45" spans="1:25" x14ac:dyDescent="0.3">
      <c r="C45" t="s">
        <v>70</v>
      </c>
      <c r="D45" s="7">
        <v>85</v>
      </c>
      <c r="E45" s="7">
        <v>90</v>
      </c>
      <c r="K45" t="s">
        <v>70</v>
      </c>
      <c r="L45" s="31">
        <f>D38</f>
        <v>30000</v>
      </c>
      <c r="M45" s="31">
        <f>E38*(1+$C$16)^2</f>
        <v>4896.4800000000005</v>
      </c>
      <c r="N45" s="30">
        <f>H38</f>
        <v>0.55000000000000004</v>
      </c>
      <c r="O45" s="7">
        <f t="shared" ref="O45:P47" si="2">$C$15</f>
        <v>15</v>
      </c>
      <c r="P45" s="7">
        <f t="shared" si="2"/>
        <v>15</v>
      </c>
      <c r="Q45" s="7">
        <f t="shared" ref="Q45:R47" si="3">D45</f>
        <v>85</v>
      </c>
      <c r="R45" s="7">
        <f t="shared" si="3"/>
        <v>90</v>
      </c>
      <c r="S45" s="7">
        <f t="shared" ref="S45:T47" si="4">$C$15+Q45</f>
        <v>100</v>
      </c>
      <c r="T45" s="7">
        <f t="shared" si="4"/>
        <v>105</v>
      </c>
      <c r="U45" s="81">
        <f>L45*(M45/1000)*N45</f>
        <v>80791.920000000013</v>
      </c>
      <c r="V45" s="81">
        <f>L45*(M45/1000)*(1-N45)</f>
        <v>66102.48000000001</v>
      </c>
      <c r="W45" s="7">
        <f t="shared" ref="W45:X47" si="5">S45*U45</f>
        <v>8079192.0000000009</v>
      </c>
      <c r="X45" s="7">
        <f t="shared" si="5"/>
        <v>6940760.4000000013</v>
      </c>
      <c r="Y45" s="7">
        <f>X45*(1+$C$23)</f>
        <v>7148983.2120000012</v>
      </c>
    </row>
    <row r="46" spans="1:25" x14ac:dyDescent="0.3">
      <c r="C46" t="s">
        <v>69</v>
      </c>
      <c r="D46" s="7">
        <v>80</v>
      </c>
      <c r="E46" s="7">
        <v>85</v>
      </c>
      <c r="K46" t="s">
        <v>69</v>
      </c>
      <c r="L46" s="31">
        <f>D39</f>
        <v>20000</v>
      </c>
      <c r="M46" s="31">
        <f>E39*(1+$C$16)^2</f>
        <v>5610.55</v>
      </c>
      <c r="N46" s="30">
        <f>H39</f>
        <v>1</v>
      </c>
      <c r="O46" s="7">
        <f t="shared" si="2"/>
        <v>15</v>
      </c>
      <c r="P46" s="7">
        <f t="shared" si="2"/>
        <v>15</v>
      </c>
      <c r="Q46" s="7">
        <f t="shared" si="3"/>
        <v>80</v>
      </c>
      <c r="R46" s="7">
        <f t="shared" si="3"/>
        <v>85</v>
      </c>
      <c r="S46" s="7">
        <f t="shared" si="4"/>
        <v>95</v>
      </c>
      <c r="T46" s="7">
        <f t="shared" si="4"/>
        <v>100</v>
      </c>
      <c r="U46" s="81">
        <f>L46*(M46/1000)*N46</f>
        <v>112211</v>
      </c>
      <c r="V46" s="81">
        <f>L46*(M46/1000)*(1-N46)</f>
        <v>0</v>
      </c>
      <c r="W46" s="7">
        <f t="shared" si="5"/>
        <v>10660045</v>
      </c>
      <c r="X46" s="7">
        <f t="shared" si="5"/>
        <v>0</v>
      </c>
      <c r="Y46" s="7">
        <f>X46*(1+$C$23)</f>
        <v>0</v>
      </c>
    </row>
    <row r="47" spans="1:25" x14ac:dyDescent="0.3">
      <c r="C47" t="s">
        <v>68</v>
      </c>
      <c r="D47" s="7">
        <v>75</v>
      </c>
      <c r="E47" s="7">
        <v>82</v>
      </c>
      <c r="K47" s="6" t="s">
        <v>68</v>
      </c>
      <c r="L47" s="80">
        <f>D40</f>
        <v>10000</v>
      </c>
      <c r="M47" s="80">
        <f>E40*(1+$C$16)^2</f>
        <v>5100.5</v>
      </c>
      <c r="N47" s="79">
        <f>H40</f>
        <v>0.5</v>
      </c>
      <c r="O47" s="68">
        <f t="shared" si="2"/>
        <v>15</v>
      </c>
      <c r="P47" s="68">
        <f t="shared" si="2"/>
        <v>15</v>
      </c>
      <c r="Q47" s="68">
        <f t="shared" si="3"/>
        <v>75</v>
      </c>
      <c r="R47" s="68">
        <f t="shared" si="3"/>
        <v>82</v>
      </c>
      <c r="S47" s="68">
        <f t="shared" si="4"/>
        <v>90</v>
      </c>
      <c r="T47" s="68">
        <f t="shared" si="4"/>
        <v>97</v>
      </c>
      <c r="U47" s="78">
        <f>L47*(M47/1000)*N47</f>
        <v>25502.5</v>
      </c>
      <c r="V47" s="78">
        <f>L47*(M47/1000)*(1-N47)</f>
        <v>25502.5</v>
      </c>
      <c r="W47" s="68">
        <f t="shared" si="5"/>
        <v>2295225</v>
      </c>
      <c r="X47" s="68">
        <f t="shared" si="5"/>
        <v>2473742.5</v>
      </c>
      <c r="Y47" s="68">
        <f>X47*(1+$C$23)</f>
        <v>2547954.7749999999</v>
      </c>
    </row>
    <row r="48" spans="1:25" x14ac:dyDescent="0.3">
      <c r="V48" t="s">
        <v>380</v>
      </c>
      <c r="W48" s="7">
        <f>SUM(W45:W47)</f>
        <v>21034462</v>
      </c>
      <c r="X48" s="7">
        <f>SUM(X45:X47)</f>
        <v>9414502.9000000022</v>
      </c>
      <c r="Y48" s="7">
        <f>SUM(Y45:Y47)</f>
        <v>9696937.9870000016</v>
      </c>
    </row>
    <row r="50" spans="25:35" x14ac:dyDescent="0.3">
      <c r="Y50" s="7">
        <f>Y48-X48</f>
        <v>282435.08699999936</v>
      </c>
      <c r="Z50" s="23" t="s">
        <v>379</v>
      </c>
      <c r="AA50" s="23"/>
      <c r="AB50" s="23"/>
      <c r="AC50" s="23"/>
      <c r="AD50" s="23"/>
    </row>
    <row r="52" spans="25:35" x14ac:dyDescent="0.3">
      <c r="Y52" s="77">
        <f>((W48-Y50)-W48)/W48</f>
        <v>-1.3427255092143431E-2</v>
      </c>
      <c r="Z52" s="23" t="s">
        <v>378</v>
      </c>
      <c r="AA52" s="23"/>
      <c r="AB52" s="23"/>
      <c r="AC52" s="23"/>
      <c r="AD52" s="23"/>
      <c r="AE52" s="23"/>
      <c r="AF52" s="23"/>
      <c r="AG52" s="23"/>
      <c r="AH52" s="23"/>
      <c r="AI52" s="23"/>
    </row>
  </sheetData>
  <mergeCells count="9">
    <mergeCell ref="S43:T43"/>
    <mergeCell ref="U43:V43"/>
    <mergeCell ref="W43:X43"/>
    <mergeCell ref="C10:G10"/>
    <mergeCell ref="C26:H26"/>
    <mergeCell ref="J26:N26"/>
    <mergeCell ref="G36:H36"/>
    <mergeCell ref="O43:P43"/>
    <mergeCell ref="Q43:R4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4E713-BDA5-4874-A7E3-3CF9D66F5392}">
  <sheetPr>
    <tabColor theme="5" tint="0.39997558519241921"/>
  </sheetPr>
  <dimension ref="A1:P41"/>
  <sheetViews>
    <sheetView workbookViewId="0">
      <selection activeCell="K41" sqref="K41"/>
    </sheetView>
  </sheetViews>
  <sheetFormatPr defaultRowHeight="14.4" x14ac:dyDescent="0.3"/>
  <cols>
    <col min="3" max="3" width="8" customWidth="1"/>
    <col min="4" max="4" width="7.109375" customWidth="1"/>
    <col min="5" max="5" width="18.6640625" customWidth="1"/>
    <col min="6" max="6" width="12.6640625" customWidth="1"/>
    <col min="7" max="7" width="15.44140625" customWidth="1"/>
    <col min="8" max="8" width="9.6640625" bestFit="1" customWidth="1"/>
    <col min="10" max="10" width="12.88671875" customWidth="1"/>
    <col min="12" max="12" width="11.5546875" bestFit="1" customWidth="1"/>
    <col min="13" max="13" width="12.33203125" customWidth="1"/>
  </cols>
  <sheetData>
    <row r="1" spans="1:7" ht="15" thickBot="1" x14ac:dyDescent="0.35">
      <c r="A1" t="s">
        <v>115</v>
      </c>
    </row>
    <row r="2" spans="1:7" ht="15" thickBot="1" x14ac:dyDescent="0.35">
      <c r="F2" s="25" t="s">
        <v>40</v>
      </c>
      <c r="G2" s="24"/>
    </row>
    <row r="3" spans="1:7" x14ac:dyDescent="0.3">
      <c r="F3" s="23" t="s">
        <v>39</v>
      </c>
      <c r="G3" s="23"/>
    </row>
    <row r="4" spans="1:7" ht="15" thickBot="1" x14ac:dyDescent="0.35">
      <c r="F4" s="22" t="s">
        <v>38</v>
      </c>
      <c r="G4" s="22"/>
    </row>
    <row r="5" spans="1:7" ht="15.6" thickTop="1" thickBot="1" x14ac:dyDescent="0.35">
      <c r="F5" s="21" t="s">
        <v>37</v>
      </c>
      <c r="G5" s="21"/>
    </row>
    <row r="6" spans="1:7" ht="15" thickTop="1" x14ac:dyDescent="0.3">
      <c r="F6" s="19" t="s">
        <v>36</v>
      </c>
      <c r="G6" s="19"/>
    </row>
    <row r="7" spans="1:7" ht="15" thickBot="1" x14ac:dyDescent="0.35"/>
    <row r="8" spans="1:7" ht="15" thickBot="1" x14ac:dyDescent="0.35">
      <c r="C8" s="182" t="s">
        <v>16</v>
      </c>
      <c r="D8" s="183"/>
      <c r="E8" s="183"/>
      <c r="F8" s="184"/>
    </row>
    <row r="9" spans="1:7" s="8" customFormat="1" x14ac:dyDescent="0.3"/>
    <row r="10" spans="1:7" s="8" customFormat="1" x14ac:dyDescent="0.3">
      <c r="C10" s="32"/>
      <c r="D10" s="8" t="s">
        <v>114</v>
      </c>
    </row>
    <row r="11" spans="1:7" s="8" customFormat="1" x14ac:dyDescent="0.3">
      <c r="C11" s="32">
        <v>5000</v>
      </c>
      <c r="D11" s="8" t="s">
        <v>113</v>
      </c>
    </row>
    <row r="12" spans="1:7" s="8" customFormat="1" x14ac:dyDescent="0.3">
      <c r="C12" s="34">
        <v>2</v>
      </c>
      <c r="D12" s="8" t="s">
        <v>112</v>
      </c>
    </row>
    <row r="13" spans="1:7" s="8" customFormat="1" x14ac:dyDescent="0.3">
      <c r="C13" s="36">
        <v>0.65</v>
      </c>
      <c r="D13" s="8" t="s">
        <v>111</v>
      </c>
    </row>
    <row r="14" spans="1:7" s="8" customFormat="1" x14ac:dyDescent="0.3">
      <c r="C14" s="32"/>
      <c r="D14" s="8" t="s">
        <v>110</v>
      </c>
    </row>
    <row r="15" spans="1:7" s="8" customFormat="1" x14ac:dyDescent="0.3"/>
    <row r="16" spans="1:7" s="8" customFormat="1" x14ac:dyDescent="0.3"/>
    <row r="17" spans="1:16" s="8" customFormat="1" x14ac:dyDescent="0.3"/>
    <row r="18" spans="1:16" s="8" customFormat="1" ht="15" thickBot="1" x14ac:dyDescent="0.35"/>
    <row r="19" spans="1:16" ht="15" thickBot="1" x14ac:dyDescent="0.35">
      <c r="C19" s="182" t="s">
        <v>10</v>
      </c>
      <c r="D19" s="183"/>
      <c r="E19" s="183"/>
      <c r="F19" s="183"/>
      <c r="G19" s="183"/>
      <c r="H19" s="183"/>
      <c r="I19" s="183"/>
      <c r="J19" s="184"/>
      <c r="L19" s="182" t="s">
        <v>9</v>
      </c>
      <c r="M19" s="183"/>
      <c r="N19" s="183"/>
      <c r="O19" s="183"/>
      <c r="P19" s="184"/>
    </row>
    <row r="20" spans="1:16" x14ac:dyDescent="0.3">
      <c r="A20" t="s">
        <v>53</v>
      </c>
      <c r="C20" s="33"/>
      <c r="D20" s="33"/>
      <c r="E20" s="33"/>
      <c r="F20" s="33"/>
      <c r="G20" s="33"/>
      <c r="H20" s="33"/>
      <c r="I20" s="33"/>
    </row>
    <row r="25" spans="1:16" x14ac:dyDescent="0.3">
      <c r="C25" s="35" t="s">
        <v>109</v>
      </c>
      <c r="D25" s="35" t="s">
        <v>108</v>
      </c>
      <c r="E25" s="6" t="s">
        <v>107</v>
      </c>
      <c r="F25" s="35" t="s">
        <v>106</v>
      </c>
      <c r="G25" s="6" t="s">
        <v>105</v>
      </c>
      <c r="H25" s="35" t="s">
        <v>104</v>
      </c>
      <c r="I25" s="35" t="s">
        <v>103</v>
      </c>
      <c r="J25" s="35" t="s">
        <v>102</v>
      </c>
    </row>
    <row r="26" spans="1:16" x14ac:dyDescent="0.3">
      <c r="C26" s="32">
        <v>1</v>
      </c>
      <c r="D26" s="32">
        <v>795</v>
      </c>
      <c r="E26" t="s">
        <v>100</v>
      </c>
      <c r="F26" s="32">
        <v>0.157</v>
      </c>
      <c r="G26" t="s">
        <v>94</v>
      </c>
      <c r="H26" s="32">
        <v>2</v>
      </c>
      <c r="I26" s="32">
        <v>1</v>
      </c>
      <c r="J26" s="34">
        <v>5000</v>
      </c>
    </row>
    <row r="27" spans="1:16" x14ac:dyDescent="0.3">
      <c r="C27" s="32">
        <v>1</v>
      </c>
      <c r="D27" s="32">
        <v>795</v>
      </c>
      <c r="E27" t="s">
        <v>100</v>
      </c>
      <c r="F27" s="32">
        <v>0.157</v>
      </c>
      <c r="G27" t="s">
        <v>101</v>
      </c>
      <c r="H27" s="32">
        <v>2</v>
      </c>
      <c r="I27" s="32">
        <v>3</v>
      </c>
      <c r="J27" s="34">
        <v>200</v>
      </c>
    </row>
    <row r="28" spans="1:16" x14ac:dyDescent="0.3">
      <c r="C28" s="32">
        <v>1</v>
      </c>
      <c r="D28" s="32">
        <v>795</v>
      </c>
      <c r="E28" t="s">
        <v>100</v>
      </c>
      <c r="F28" s="32">
        <v>0.157</v>
      </c>
      <c r="G28" t="s">
        <v>97</v>
      </c>
      <c r="H28" s="32">
        <v>2</v>
      </c>
      <c r="I28" s="32">
        <v>60</v>
      </c>
      <c r="J28" s="34">
        <v>1500</v>
      </c>
    </row>
    <row r="29" spans="1:16" x14ac:dyDescent="0.3">
      <c r="C29" s="32">
        <v>2</v>
      </c>
      <c r="D29" s="32">
        <v>787</v>
      </c>
      <c r="E29" t="s">
        <v>99</v>
      </c>
      <c r="F29" s="32">
        <v>1.0529999999999999</v>
      </c>
      <c r="G29" t="s">
        <v>94</v>
      </c>
      <c r="H29" s="32">
        <v>4</v>
      </c>
      <c r="I29" s="32">
        <v>1</v>
      </c>
      <c r="J29" s="34">
        <v>6000</v>
      </c>
    </row>
    <row r="30" spans="1:16" x14ac:dyDescent="0.3">
      <c r="C30" s="32">
        <v>2</v>
      </c>
      <c r="D30" s="32">
        <v>787</v>
      </c>
      <c r="E30" t="s">
        <v>99</v>
      </c>
      <c r="F30" s="32">
        <v>1.0529999999999999</v>
      </c>
      <c r="G30" t="s">
        <v>97</v>
      </c>
      <c r="H30" s="32">
        <v>4</v>
      </c>
      <c r="I30" s="32">
        <v>300</v>
      </c>
      <c r="J30" s="34">
        <v>3000</v>
      </c>
    </row>
    <row r="31" spans="1:16" x14ac:dyDescent="0.3">
      <c r="C31" s="32">
        <v>3</v>
      </c>
      <c r="D31" s="32">
        <v>794</v>
      </c>
      <c r="E31" t="s">
        <v>95</v>
      </c>
      <c r="F31" s="32">
        <v>1.1639999999999999</v>
      </c>
      <c r="G31" t="s">
        <v>98</v>
      </c>
      <c r="H31" s="32">
        <v>11</v>
      </c>
      <c r="I31" s="32">
        <v>4</v>
      </c>
      <c r="J31" s="34">
        <v>1000</v>
      </c>
    </row>
    <row r="32" spans="1:16" x14ac:dyDescent="0.3">
      <c r="C32" s="32">
        <v>3</v>
      </c>
      <c r="D32" s="32">
        <v>794</v>
      </c>
      <c r="E32" t="s">
        <v>95</v>
      </c>
      <c r="F32" s="32">
        <v>1.1639999999999999</v>
      </c>
      <c r="G32" t="s">
        <v>97</v>
      </c>
      <c r="H32" s="32">
        <v>11</v>
      </c>
      <c r="I32" s="32">
        <v>350</v>
      </c>
      <c r="J32" s="34">
        <v>7000</v>
      </c>
    </row>
    <row r="33" spans="1:10" x14ac:dyDescent="0.3">
      <c r="C33" s="32">
        <v>3</v>
      </c>
      <c r="D33" s="32">
        <v>794</v>
      </c>
      <c r="E33" t="s">
        <v>95</v>
      </c>
      <c r="F33" s="32">
        <v>1.1639999999999999</v>
      </c>
      <c r="G33" t="s">
        <v>96</v>
      </c>
      <c r="H33" s="32">
        <v>11</v>
      </c>
      <c r="I33" s="32">
        <v>8</v>
      </c>
      <c r="J33" s="34">
        <v>800</v>
      </c>
    </row>
    <row r="34" spans="1:10" x14ac:dyDescent="0.3">
      <c r="C34" s="32">
        <v>3</v>
      </c>
      <c r="D34" s="32">
        <v>794</v>
      </c>
      <c r="E34" t="s">
        <v>95</v>
      </c>
      <c r="F34" s="32">
        <v>1.1639999999999999</v>
      </c>
      <c r="G34" t="s">
        <v>94</v>
      </c>
      <c r="H34" s="32">
        <v>11</v>
      </c>
      <c r="I34" s="32">
        <v>1</v>
      </c>
      <c r="J34" s="34">
        <v>5000</v>
      </c>
    </row>
    <row r="41" spans="1:10" s="6" customFormat="1" x14ac:dyDescent="0.3">
      <c r="A41" s="6" t="s">
        <v>93</v>
      </c>
    </row>
  </sheetData>
  <mergeCells count="3">
    <mergeCell ref="C8:F8"/>
    <mergeCell ref="C19:J19"/>
    <mergeCell ref="L19:P1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E639BB4E74542A43DE6E767DBCE18" ma:contentTypeVersion="11" ma:contentTypeDescription="Create a new document." ma:contentTypeScope="" ma:versionID="681f7fff1efaa5d4527fe8ca50b73cf7">
  <xsd:schema xmlns:xsd="http://www.w3.org/2001/XMLSchema" xmlns:xs="http://www.w3.org/2001/XMLSchema" xmlns:p="http://schemas.microsoft.com/office/2006/metadata/properties" xmlns:ns2="2a829cb1-c3bd-48aa-b101-cd51227f80d0" xmlns:ns3="c264fd13-c93d-4e63-9fb0-02334996df4b" targetNamespace="http://schemas.microsoft.com/office/2006/metadata/properties" ma:root="true" ma:fieldsID="e809d16dd66263efebf52ef89ed394f9" ns2:_="" ns3:_="">
    <xsd:import namespace="2a829cb1-c3bd-48aa-b101-cd51227f80d0"/>
    <xsd:import namespace="c264fd13-c93d-4e63-9fb0-02334996df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29cb1-c3bd-48aa-b101-cd51227f8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4fd13-c93d-4e63-9fb0-02334996df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015f8-e9b6-4fc3-9b4e-646117ef80f2}" ma:internalName="TaxCatchAll" ma:showField="CatchAllData" ma:web="c264fd13-c93d-4e63-9fb0-02334996df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264fd13-c93d-4e63-9fb0-02334996df4b" xsi:nil="true"/>
    <lcf76f155ced4ddcb4097134ff3c332f xmlns="2a829cb1-c3bd-48aa-b101-cd51227f80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BA8C33A-C92F-4BC2-BD8F-631DC914D039}"/>
</file>

<file path=customXml/itemProps2.xml><?xml version="1.0" encoding="utf-8"?>
<ds:datastoreItem xmlns:ds="http://schemas.openxmlformats.org/officeDocument/2006/customXml" ds:itemID="{E1D6B809-EE31-4852-A231-DC358FD4F079}"/>
</file>

<file path=customXml/itemProps3.xml><?xml version="1.0" encoding="utf-8"?>
<ds:datastoreItem xmlns:ds="http://schemas.openxmlformats.org/officeDocument/2006/customXml" ds:itemID="{ABFFC35E-0271-4F00-AC02-1383BE47831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Cover </vt:lpstr>
      <vt:lpstr>GH 301 LO 1</vt:lpstr>
      <vt:lpstr>LO1 Q1</vt:lpstr>
      <vt:lpstr>LO1 A1</vt:lpstr>
      <vt:lpstr>LO1 Q2</vt:lpstr>
      <vt:lpstr>LO1 A2</vt:lpstr>
      <vt:lpstr>LO1 Q3</vt:lpstr>
      <vt:lpstr>LO1 A3</vt:lpstr>
      <vt:lpstr>LO1 Q5</vt:lpstr>
      <vt:lpstr>LO1 A5</vt:lpstr>
      <vt:lpstr>LO1 Q7</vt:lpstr>
      <vt:lpstr>LO1 A7</vt:lpstr>
      <vt:lpstr>LO1 Q8</vt:lpstr>
      <vt:lpstr>LO1 A8</vt:lpstr>
      <vt:lpstr>LO1 Q9</vt:lpstr>
      <vt:lpstr>LO1 A9</vt:lpstr>
      <vt:lpstr>LO1 Q10</vt:lpstr>
      <vt:lpstr>LO1 A10</vt:lpstr>
      <vt:lpstr>LO1 Q11</vt:lpstr>
      <vt:lpstr>LO1 A11</vt:lpstr>
      <vt:lpstr>LO1 Q12</vt:lpstr>
      <vt:lpstr>LO1 A12</vt:lpstr>
      <vt:lpstr>LO1 Q13</vt:lpstr>
      <vt:lpstr>LO1 A13</vt:lpstr>
      <vt:lpstr>LO1 Q14</vt:lpstr>
      <vt:lpstr>LO1 A14</vt:lpstr>
      <vt:lpstr>LO1 Q15</vt:lpstr>
      <vt:lpstr>LO1 A15</vt:lpstr>
      <vt:lpstr>LO1 Q17</vt:lpstr>
      <vt:lpstr>LO1 A17</vt:lpstr>
      <vt:lpstr>LO1 Q19</vt:lpstr>
      <vt:lpstr>LO1 A19</vt:lpstr>
      <vt:lpstr>LO1 Q21</vt:lpstr>
      <vt:lpstr>LO1 A21</vt:lpstr>
      <vt:lpstr>LO1 Q22</vt:lpstr>
      <vt:lpstr>LO1 A22</vt:lpstr>
      <vt:lpstr>LO1 Q23</vt:lpstr>
      <vt:lpstr>LO1 A23</vt:lpstr>
      <vt:lpstr>LO1 Q24</vt:lpstr>
      <vt:lpstr>LO1 A24</vt:lpstr>
      <vt:lpstr>GH 301 LO 2</vt:lpstr>
      <vt:lpstr>LO2 Q5</vt:lpstr>
      <vt:lpstr>LO2 A5</vt:lpstr>
      <vt:lpstr>LO2 Q7</vt:lpstr>
      <vt:lpstr>LO2 A7</vt:lpstr>
      <vt:lpstr>LO2 Q10</vt:lpstr>
      <vt:lpstr>LO2 A10</vt:lpstr>
      <vt:lpstr>LO2 Q11</vt:lpstr>
      <vt:lpstr>LO2 A11</vt:lpstr>
      <vt:lpstr>LO2 Q14</vt:lpstr>
      <vt:lpstr>LO2 A14</vt:lpstr>
      <vt:lpstr>LO2 Q15</vt:lpstr>
      <vt:lpstr>LO2 A15</vt:lpstr>
      <vt:lpstr>LO2 Q16</vt:lpstr>
      <vt:lpstr>LO2 A16</vt:lpstr>
      <vt:lpstr>LO2 Q19</vt:lpstr>
      <vt:lpstr>LO2 A19</vt:lpstr>
      <vt:lpstr>GH 301 LO 3</vt:lpstr>
      <vt:lpstr>LO3 Q2</vt:lpstr>
      <vt:lpstr>LO3 A2</vt:lpstr>
      <vt:lpstr>LO3 Q3</vt:lpstr>
      <vt:lpstr>LO3 A3</vt:lpstr>
      <vt:lpstr>LO3 Q7</vt:lpstr>
      <vt:lpstr>LO3 A7</vt:lpstr>
      <vt:lpstr>LO3 Q9</vt:lpstr>
      <vt:lpstr>LO3 A9</vt:lpstr>
      <vt:lpstr>LO3 Q11</vt:lpstr>
      <vt:lpstr>LO3 A11</vt:lpstr>
      <vt:lpstr>LO3 Q12</vt:lpstr>
      <vt:lpstr>LO3 A12</vt:lpstr>
      <vt:lpstr>LO3 Q14</vt:lpstr>
      <vt:lpstr>LO3 A14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Douglas Norris</dc:creator>
  <cp:lastModifiedBy>Douglas Norris</cp:lastModifiedBy>
  <dcterms:created xsi:type="dcterms:W3CDTF">2015-06-05T18:17:20Z</dcterms:created>
  <dcterms:modified xsi:type="dcterms:W3CDTF">2025-06-27T18:08:34Z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0x010100F6AE639BB4E74542A43DE6E767DBCE18</vt:lpwstr>
  </property>
</Properties>
</file>